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013\Documents\Product guides\"/>
    </mc:Choice>
  </mc:AlternateContent>
  <xr:revisionPtr revIDLastSave="0" documentId="8_{BF5FF025-72B7-4196-AB4E-472B1348ED0E}" xr6:coauthVersionLast="47" xr6:coauthVersionMax="47" xr10:uidLastSave="{00000000-0000-0000-0000-000000000000}"/>
  <bookViews>
    <workbookView xWindow="-110" yWindow="-110" windowWidth="19420" windowHeight="10420" tabRatio="854" xr2:uid="{00000000-000D-0000-FFFF-FFFF00000000}"/>
  </bookViews>
  <sheets>
    <sheet name="Introduction" sheetId="29" r:id="rId1"/>
    <sheet name="Producer" sheetId="1" state="hidden" r:id="rId2"/>
    <sheet name="SF Product Sheets" sheetId="27" state="hidden" r:id="rId3"/>
    <sheet name="Constants" sheetId="25" state="hidden" r:id="rId4"/>
    <sheet name="Current Products" sheetId="30" r:id="rId5"/>
    <sheet name="New Products" sheetId="31" r:id="rId6"/>
    <sheet name="Withdrawn Products" sheetId="32" r:id="rId7"/>
    <sheet name="Additional" sheetId="28" r:id="rId8"/>
  </sheets>
  <externalReferences>
    <externalReference r:id="rId9"/>
  </externalReferences>
  <definedNames>
    <definedName name="_xlnm._FilterDatabase" localSheetId="4" hidden="1">'Current Products'!$A$27:$P$121</definedName>
    <definedName name="_xlnm._FilterDatabase" localSheetId="5" hidden="1">'New Products'!$A$30:$P$98</definedName>
    <definedName name="_xlnm._FilterDatabase" localSheetId="1" hidden="1">Producer!$A$4:$Q$443</definedName>
    <definedName name="_xlnm._FilterDatabase" localSheetId="2" hidden="1">'SF Product Sheets'!$C$1:$CG$1</definedName>
    <definedName name="_xlnm._FilterDatabase" localSheetId="6" hidden="1">'Withdrawn Products'!$A$30:$P$100</definedName>
    <definedName name="a" localSheetId="6">'Withdrawn Products'!$L:$XFD</definedName>
    <definedName name="a">#REF!</definedName>
    <definedName name="FilterValues">[1]Lookups!$B$2:$B$4</definedName>
    <definedName name="lendingTypes">[1]Lookups!$E$2:$E$3</definedName>
    <definedName name="mortgageTypes">[1]Lookups!$F$2:$F$5</definedName>
    <definedName name="_xlnm.Print_Area" localSheetId="0">Introduction!$A$1:$CB$58</definedName>
    <definedName name="purchaserTypes">[1]Lookups!$G$2:$G$7</definedName>
    <definedName name="rateTypes">[1]Lookups!$A$2:$A$6</definedName>
    <definedName name="repaymentTypes">[1]Lookups!$C$2:$C$4</definedName>
    <definedName name="YesNo">[1]Lookups!$D$2:$D$3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0" i="32" l="1"/>
  <c r="P100" i="32"/>
  <c r="O99" i="32"/>
  <c r="P99" i="32"/>
  <c r="P98" i="32"/>
  <c r="P97" i="32"/>
  <c r="P96" i="32"/>
  <c r="P94" i="32"/>
  <c r="O93" i="32"/>
  <c r="P93" i="32"/>
  <c r="P92" i="32"/>
  <c r="P91" i="32"/>
  <c r="P90" i="32"/>
  <c r="P88" i="32"/>
  <c r="O88" i="32"/>
  <c r="P87" i="32"/>
  <c r="P85" i="32"/>
  <c r="P84" i="32"/>
  <c r="P83" i="32"/>
  <c r="P81" i="32"/>
  <c r="O81" i="32"/>
  <c r="P80" i="32"/>
  <c r="P79" i="32"/>
  <c r="P78" i="32"/>
  <c r="P77" i="32"/>
  <c r="O77" i="32"/>
  <c r="P76" i="32"/>
  <c r="P75" i="32"/>
  <c r="O73" i="32"/>
  <c r="P73" i="32"/>
  <c r="P72" i="32"/>
  <c r="P71" i="32"/>
  <c r="O70" i="32"/>
  <c r="P70" i="32"/>
  <c r="O69" i="32"/>
  <c r="P69" i="32"/>
  <c r="P67" i="32"/>
  <c r="P66" i="32"/>
  <c r="O66" i="32"/>
  <c r="P65" i="32"/>
  <c r="P64" i="32"/>
  <c r="O63" i="32"/>
  <c r="P63" i="32"/>
  <c r="O62" i="32"/>
  <c r="P62" i="32"/>
  <c r="P61" i="32"/>
  <c r="P60" i="32"/>
  <c r="P59" i="32"/>
  <c r="P58" i="32"/>
  <c r="O58" i="32"/>
  <c r="P57" i="32"/>
  <c r="O55" i="32"/>
  <c r="P55" i="32"/>
  <c r="P54" i="32"/>
  <c r="P53" i="32"/>
  <c r="P52" i="32"/>
  <c r="P51" i="32"/>
  <c r="P50" i="32"/>
  <c r="P49" i="32"/>
  <c r="P48" i="32"/>
  <c r="P47" i="32"/>
  <c r="P46" i="32"/>
  <c r="P45" i="32"/>
  <c r="O43" i="32"/>
  <c r="P43" i="32"/>
  <c r="P42" i="32"/>
  <c r="P41" i="32"/>
  <c r="P40" i="32"/>
  <c r="P39" i="32"/>
  <c r="P37" i="32"/>
  <c r="P36" i="32"/>
  <c r="P35" i="32"/>
  <c r="P34" i="32"/>
  <c r="P33" i="32"/>
  <c r="P98" i="31"/>
  <c r="P97" i="31"/>
  <c r="P96" i="31"/>
  <c r="P95" i="31"/>
  <c r="P94" i="31"/>
  <c r="O92" i="31"/>
  <c r="P92" i="31"/>
  <c r="P91" i="31"/>
  <c r="P90" i="31"/>
  <c r="O89" i="31"/>
  <c r="P89" i="31"/>
  <c r="O88" i="31"/>
  <c r="P88" i="31"/>
  <c r="P86" i="31"/>
  <c r="P85" i="31"/>
  <c r="O83" i="31"/>
  <c r="P83" i="31"/>
  <c r="P82" i="31"/>
  <c r="P81" i="31"/>
  <c r="P79" i="31"/>
  <c r="O78" i="31"/>
  <c r="P78" i="31"/>
  <c r="P77" i="31"/>
  <c r="P76" i="31"/>
  <c r="P75" i="31"/>
  <c r="P74" i="31"/>
  <c r="O73" i="31"/>
  <c r="P73" i="31"/>
  <c r="P71" i="31"/>
  <c r="O70" i="31"/>
  <c r="P70" i="31"/>
  <c r="P69" i="31"/>
  <c r="P68" i="31"/>
  <c r="P67" i="31"/>
  <c r="P65" i="31"/>
  <c r="O64" i="31"/>
  <c r="P64" i="31"/>
  <c r="P63" i="31"/>
  <c r="P62" i="31"/>
  <c r="P61" i="31"/>
  <c r="P60" i="31"/>
  <c r="P59" i="31"/>
  <c r="O58" i="31"/>
  <c r="P58" i="31"/>
  <c r="P57" i="31"/>
  <c r="P56" i="31"/>
  <c r="P54" i="31"/>
  <c r="O53" i="31"/>
  <c r="P53" i="31"/>
  <c r="P52" i="31"/>
  <c r="P51" i="31"/>
  <c r="P50" i="31"/>
  <c r="P49" i="31"/>
  <c r="O48" i="31"/>
  <c r="P48" i="31"/>
  <c r="P47" i="31"/>
  <c r="P46" i="31"/>
  <c r="P45" i="31"/>
  <c r="P43" i="31"/>
  <c r="O42" i="31"/>
  <c r="P42" i="31"/>
  <c r="P41" i="31"/>
  <c r="O40" i="31"/>
  <c r="P40" i="31"/>
  <c r="O39" i="31"/>
  <c r="P39" i="31"/>
  <c r="P37" i="31"/>
  <c r="O36" i="31"/>
  <c r="P36" i="31"/>
  <c r="P35" i="31"/>
  <c r="O34" i="31"/>
  <c r="P34" i="31"/>
  <c r="P33" i="31"/>
  <c r="P121" i="30"/>
  <c r="P120" i="30"/>
  <c r="P119" i="30"/>
  <c r="P118" i="30"/>
  <c r="P117" i="30"/>
  <c r="P115" i="30"/>
  <c r="P114" i="30"/>
  <c r="P113" i="30"/>
  <c r="O112" i="30"/>
  <c r="P112" i="30"/>
  <c r="P111" i="30"/>
  <c r="O109" i="30"/>
  <c r="P109" i="30"/>
  <c r="P108" i="30"/>
  <c r="P107" i="30"/>
  <c r="P106" i="30"/>
  <c r="P104" i="30"/>
  <c r="P103" i="30"/>
  <c r="P101" i="30"/>
  <c r="P100" i="30"/>
  <c r="O99" i="30"/>
  <c r="P99" i="30"/>
  <c r="P97" i="30"/>
  <c r="P96" i="30"/>
  <c r="P95" i="30"/>
  <c r="P94" i="30"/>
  <c r="P93" i="30"/>
  <c r="O92" i="30"/>
  <c r="P92" i="30"/>
  <c r="P91" i="30"/>
  <c r="P89" i="30"/>
  <c r="P88" i="30"/>
  <c r="P87" i="30"/>
  <c r="O86" i="30"/>
  <c r="P86" i="30"/>
  <c r="P85" i="30"/>
  <c r="O83" i="30"/>
  <c r="P83" i="30"/>
  <c r="P82" i="30"/>
  <c r="P81" i="30"/>
  <c r="P80" i="30"/>
  <c r="P79" i="30"/>
  <c r="P78" i="30"/>
  <c r="P77" i="30"/>
  <c r="P76" i="30"/>
  <c r="P75" i="30"/>
  <c r="P74" i="30"/>
  <c r="P72" i="30"/>
  <c r="P71" i="30"/>
  <c r="P70" i="30"/>
  <c r="P69" i="30"/>
  <c r="P68" i="30"/>
  <c r="P67" i="30"/>
  <c r="P66" i="30"/>
  <c r="P65" i="30"/>
  <c r="P64" i="30"/>
  <c r="O64" i="30"/>
  <c r="P63" i="30"/>
  <c r="P61" i="30"/>
  <c r="P60" i="30"/>
  <c r="P59" i="30"/>
  <c r="O58" i="30"/>
  <c r="P58" i="30"/>
  <c r="P57" i="30"/>
  <c r="O56" i="30"/>
  <c r="P56" i="30"/>
  <c r="P55" i="30"/>
  <c r="P54" i="30"/>
  <c r="O53" i="30"/>
  <c r="P53" i="30"/>
  <c r="P51" i="30"/>
  <c r="O50" i="30"/>
  <c r="P50" i="30"/>
  <c r="P49" i="30"/>
  <c r="P48" i="30"/>
  <c r="P47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O40" i="32" l="1"/>
  <c r="O57" i="32"/>
  <c r="O65" i="32"/>
  <c r="O71" i="32"/>
  <c r="O87" i="32"/>
  <c r="O47" i="32"/>
  <c r="O78" i="32"/>
  <c r="O80" i="32"/>
  <c r="O60" i="32"/>
  <c r="O76" i="32"/>
  <c r="O36" i="32"/>
  <c r="O94" i="32"/>
  <c r="O34" i="32"/>
  <c r="O48" i="32"/>
  <c r="O59" i="32"/>
  <c r="O67" i="32"/>
  <c r="O51" i="32"/>
  <c r="O41" i="32"/>
  <c r="O61" i="32"/>
  <c r="O91" i="32"/>
  <c r="O96" i="32"/>
  <c r="O72" i="32"/>
  <c r="O84" i="32"/>
  <c r="O90" i="32"/>
  <c r="O35" i="32"/>
  <c r="O52" i="32"/>
  <c r="O64" i="32"/>
  <c r="O85" i="32"/>
  <c r="O97" i="32"/>
  <c r="O98" i="32"/>
  <c r="P68" i="32"/>
  <c r="P86" i="32"/>
  <c r="P89" i="32"/>
  <c r="P38" i="32"/>
  <c r="P32" i="32"/>
  <c r="O33" i="32"/>
  <c r="O37" i="32"/>
  <c r="O45" i="32"/>
  <c r="O46" i="32"/>
  <c r="P56" i="32"/>
  <c r="O75" i="32"/>
  <c r="P44" i="32"/>
  <c r="P74" i="32"/>
  <c r="O86" i="32"/>
  <c r="O49" i="32"/>
  <c r="O50" i="32"/>
  <c r="O39" i="32"/>
  <c r="O79" i="32"/>
  <c r="P82" i="32"/>
  <c r="O83" i="32"/>
  <c r="P95" i="32"/>
  <c r="O42" i="32"/>
  <c r="O53" i="32"/>
  <c r="O54" i="32"/>
  <c r="O92" i="32"/>
  <c r="O79" i="31"/>
  <c r="O95" i="31"/>
  <c r="O35" i="31"/>
  <c r="O52" i="31"/>
  <c r="O98" i="31"/>
  <c r="O60" i="31"/>
  <c r="O47" i="31"/>
  <c r="O59" i="31"/>
  <c r="O61" i="31"/>
  <c r="O85" i="31"/>
  <c r="O90" i="31"/>
  <c r="O33" i="31"/>
  <c r="O49" i="31"/>
  <c r="O57" i="31"/>
  <c r="O56" i="31"/>
  <c r="O63" i="31"/>
  <c r="O65" i="31"/>
  <c r="O41" i="31"/>
  <c r="O43" i="31"/>
  <c r="O75" i="31"/>
  <c r="O82" i="31"/>
  <c r="P32" i="31"/>
  <c r="O37" i="31"/>
  <c r="O76" i="31"/>
  <c r="O91" i="31"/>
  <c r="O62" i="31"/>
  <c r="O77" i="31"/>
  <c r="P84" i="31"/>
  <c r="P44" i="31"/>
  <c r="P72" i="31"/>
  <c r="P55" i="31"/>
  <c r="P38" i="31"/>
  <c r="O50" i="31"/>
  <c r="P80" i="31"/>
  <c r="O51" i="31"/>
  <c r="O81" i="31"/>
  <c r="O86" i="31"/>
  <c r="O71" i="31"/>
  <c r="O69" i="31"/>
  <c r="O45" i="31"/>
  <c r="O74" i="31"/>
  <c r="O94" i="31"/>
  <c r="O46" i="31"/>
  <c r="O54" i="31"/>
  <c r="P93" i="31"/>
  <c r="O97" i="31"/>
  <c r="O96" i="31"/>
  <c r="P66" i="31"/>
  <c r="O68" i="31"/>
  <c r="O67" i="31"/>
  <c r="P87" i="31"/>
  <c r="O91" i="30"/>
  <c r="O113" i="30"/>
  <c r="O96" i="30"/>
  <c r="O117" i="30"/>
  <c r="O120" i="30"/>
  <c r="O111" i="30"/>
  <c r="O101" i="30"/>
  <c r="O47" i="30"/>
  <c r="O31" i="30"/>
  <c r="O32" i="30"/>
  <c r="O30" i="30"/>
  <c r="O78" i="30"/>
  <c r="O44" i="30"/>
  <c r="O45" i="30"/>
  <c r="O68" i="30"/>
  <c r="O76" i="30"/>
  <c r="O104" i="30"/>
  <c r="O119" i="30"/>
  <c r="O33" i="30"/>
  <c r="O55" i="30"/>
  <c r="O39" i="30"/>
  <c r="O40" i="30"/>
  <c r="O60" i="30"/>
  <c r="O71" i="30"/>
  <c r="O103" i="30"/>
  <c r="O42" i="30"/>
  <c r="O75" i="30"/>
  <c r="O100" i="30"/>
  <c r="O65" i="30"/>
  <c r="O35" i="30"/>
  <c r="O36" i="30"/>
  <c r="O59" i="30"/>
  <c r="O69" i="30"/>
  <c r="O82" i="30"/>
  <c r="O54" i="30"/>
  <c r="O49" i="30"/>
  <c r="O51" i="30"/>
  <c r="O72" i="30"/>
  <c r="O81" i="30"/>
  <c r="O93" i="30"/>
  <c r="O108" i="30"/>
  <c r="O41" i="30"/>
  <c r="O37" i="30"/>
  <c r="O77" i="30"/>
  <c r="O95" i="30"/>
  <c r="O115" i="30"/>
  <c r="P29" i="30"/>
  <c r="P110" i="30"/>
  <c r="P98" i="30"/>
  <c r="P46" i="30"/>
  <c r="O34" i="30"/>
  <c r="O43" i="30"/>
  <c r="O48" i="30"/>
  <c r="O88" i="30"/>
  <c r="P116" i="30"/>
  <c r="P62" i="30"/>
  <c r="O79" i="30"/>
  <c r="O80" i="30"/>
  <c r="O57" i="30"/>
  <c r="O63" i="30"/>
  <c r="P73" i="30"/>
  <c r="O89" i="30"/>
  <c r="P90" i="30"/>
  <c r="O74" i="30"/>
  <c r="O85" i="30"/>
  <c r="P52" i="30"/>
  <c r="O70" i="30"/>
  <c r="O38" i="30"/>
  <c r="P84" i="30"/>
  <c r="O97" i="30"/>
  <c r="O61" i="30"/>
  <c r="O67" i="30"/>
  <c r="P105" i="30"/>
  <c r="O94" i="30"/>
  <c r="O106" i="30"/>
  <c r="P102" i="30"/>
  <c r="O107" i="30"/>
  <c r="O121" i="30"/>
  <c r="O114" i="30"/>
  <c r="O118" i="30"/>
  <c r="O87" i="30"/>
  <c r="O66" i="30"/>
  <c r="O68" i="32" l="1"/>
  <c r="O98" i="30"/>
  <c r="O56" i="32"/>
  <c r="O89" i="32"/>
  <c r="O95" i="32"/>
  <c r="O74" i="32"/>
  <c r="O38" i="32"/>
  <c r="O32" i="32"/>
  <c r="O82" i="32"/>
  <c r="O44" i="32"/>
  <c r="O38" i="31"/>
  <c r="O32" i="31"/>
  <c r="O87" i="31"/>
  <c r="O55" i="31"/>
  <c r="O84" i="31"/>
  <c r="O72" i="31"/>
  <c r="O66" i="31"/>
  <c r="O93" i="31"/>
  <c r="O80" i="31"/>
  <c r="O44" i="31"/>
  <c r="O90" i="30"/>
  <c r="O110" i="30"/>
  <c r="O116" i="30"/>
  <c r="O29" i="30"/>
  <c r="O52" i="30"/>
  <c r="O46" i="30"/>
  <c r="O102" i="30"/>
  <c r="O84" i="30"/>
  <c r="O73" i="30"/>
  <c r="O105" i="30"/>
  <c r="O62" i="30"/>
  <c r="J443" i="1" l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7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7" i="1"/>
  <c r="R316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S242" i="1"/>
  <c r="U242" i="1"/>
  <c r="S243" i="1"/>
  <c r="U243" i="1"/>
  <c r="R443" i="1" l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2" i="1" l="1"/>
  <c r="D2" i="27" l="1"/>
  <c r="BN2" i="27" s="1"/>
  <c r="CK2" i="27" l="1"/>
  <c r="BD2" i="27"/>
  <c r="BK2" i="27"/>
  <c r="BQ2" i="27"/>
  <c r="BC2" i="27"/>
  <c r="BH2" i="27" s="1"/>
  <c r="CG2" i="27"/>
  <c r="CF2" i="27"/>
  <c r="BZ2" i="27"/>
  <c r="CC2" i="27"/>
  <c r="G2" i="27"/>
  <c r="CN2" i="27"/>
  <c r="H2" i="27"/>
  <c r="C2" i="27"/>
  <c r="J2" i="27" s="1"/>
  <c r="BA2" i="27"/>
  <c r="CJ2" i="27"/>
  <c r="I2" i="27"/>
  <c r="CD2" i="27"/>
  <c r="CE2" i="27"/>
  <c r="AP2" i="27"/>
  <c r="CB2" i="27"/>
  <c r="CI2" i="27"/>
  <c r="B2" i="27"/>
  <c r="BE2" i="27" s="1"/>
  <c r="D3" i="27"/>
  <c r="BN3" i="27" s="1"/>
  <c r="U362" i="1"/>
  <c r="S362" i="1"/>
  <c r="U361" i="1"/>
  <c r="S361" i="1"/>
  <c r="AG5" i="1"/>
  <c r="AI5" i="1"/>
  <c r="AH5" i="1"/>
  <c r="U129" i="1"/>
  <c r="S129" i="1"/>
  <c r="S17" i="1"/>
  <c r="U17" i="1"/>
  <c r="S18" i="1"/>
  <c r="U18" i="1"/>
  <c r="S19" i="1"/>
  <c r="U19" i="1"/>
  <c r="S15" i="1"/>
  <c r="U15" i="1"/>
  <c r="S16" i="1"/>
  <c r="U16" i="1"/>
  <c r="S20" i="1"/>
  <c r="U20" i="1"/>
  <c r="U401" i="1"/>
  <c r="S401" i="1"/>
  <c r="U400" i="1"/>
  <c r="S400" i="1"/>
  <c r="U399" i="1"/>
  <c r="S399" i="1"/>
  <c r="U398" i="1"/>
  <c r="S398" i="1"/>
  <c r="S97" i="1"/>
  <c r="K2" i="27" l="1"/>
  <c r="L2" i="27" s="1"/>
  <c r="AZ2" i="27"/>
  <c r="AR2" i="27"/>
  <c r="AY2" i="27"/>
  <c r="AS2" i="27"/>
  <c r="AX2" i="27"/>
  <c r="AV2" i="27"/>
  <c r="AU2" i="27"/>
  <c r="BY2" i="27"/>
  <c r="AW2" i="27"/>
  <c r="AT2" i="27"/>
  <c r="AL2" i="27"/>
  <c r="AQ2" i="27"/>
  <c r="BB2" i="27" s="1"/>
  <c r="AK2" i="27"/>
  <c r="BL2" i="27"/>
  <c r="BM2" i="27" s="1"/>
  <c r="BI2" i="27"/>
  <c r="BJ2" i="27"/>
  <c r="CH2" i="27"/>
  <c r="CP2" i="27"/>
  <c r="CL2" i="27"/>
  <c r="CT2" i="27"/>
  <c r="CA2" i="27"/>
  <c r="CQ2" i="27"/>
  <c r="CR2" i="27"/>
  <c r="CS2" i="27"/>
  <c r="CM2" i="27"/>
  <c r="E2" i="27"/>
  <c r="AM2" i="27" s="1"/>
  <c r="B3" i="27"/>
  <c r="BE3" i="27" s="1"/>
  <c r="CG3" i="27"/>
  <c r="I3" i="27"/>
  <c r="CE3" i="27"/>
  <c r="H3" i="27"/>
  <c r="CD3" i="27"/>
  <c r="CC3" i="27"/>
  <c r="BZ3" i="27"/>
  <c r="CJ3" i="27"/>
  <c r="CK3" i="27"/>
  <c r="BD3" i="27"/>
  <c r="BK3" i="27"/>
  <c r="CB3" i="27"/>
  <c r="BA3" i="27"/>
  <c r="G3" i="27"/>
  <c r="CN3" i="27"/>
  <c r="CF3" i="27"/>
  <c r="AP3" i="27"/>
  <c r="BQ3" i="27"/>
  <c r="CI3" i="27"/>
  <c r="BC3" i="27"/>
  <c r="BH3" i="27" s="1"/>
  <c r="C3" i="27"/>
  <c r="J3" i="27" s="1"/>
  <c r="D4" i="27"/>
  <c r="BN4" i="27" s="1"/>
  <c r="A2" i="27"/>
  <c r="W7" i="25"/>
  <c r="V7" i="25"/>
  <c r="T7" i="25"/>
  <c r="P7" i="25"/>
  <c r="N7" i="25"/>
  <c r="W6" i="25"/>
  <c r="V6" i="25"/>
  <c r="T6" i="25"/>
  <c r="P6" i="25"/>
  <c r="N6" i="25"/>
  <c r="R5" i="25"/>
  <c r="Q5" i="25"/>
  <c r="P5" i="25"/>
  <c r="O5" i="25"/>
  <c r="N5" i="25"/>
  <c r="P4" i="25"/>
  <c r="O4" i="25"/>
  <c r="N4" i="25"/>
  <c r="O3" i="25"/>
  <c r="N3" i="25"/>
  <c r="N2" i="25"/>
  <c r="AN2" i="27" l="1"/>
  <c r="AK3" i="27"/>
  <c r="AU3" i="27"/>
  <c r="AV3" i="27"/>
  <c r="AX3" i="27"/>
  <c r="AR3" i="27"/>
  <c r="AZ3" i="27"/>
  <c r="AQ3" i="27"/>
  <c r="BB3" i="27" s="1"/>
  <c r="AS3" i="27"/>
  <c r="AT3" i="27"/>
  <c r="AW3" i="27"/>
  <c r="AY3" i="27"/>
  <c r="CM3" i="27"/>
  <c r="BL3" i="27"/>
  <c r="BM3" i="27" s="1"/>
  <c r="BI3" i="27"/>
  <c r="AO2" i="27"/>
  <c r="BV2" i="27"/>
  <c r="CO2" i="27"/>
  <c r="CA3" i="27"/>
  <c r="K3" i="27"/>
  <c r="L3" i="27" s="1"/>
  <c r="E3" i="27"/>
  <c r="AM3" i="27" s="1"/>
  <c r="BY3" i="27"/>
  <c r="AL3" i="27"/>
  <c r="B4" i="27"/>
  <c r="BE4" i="27" s="1"/>
  <c r="CB4" i="27"/>
  <c r="CD4" i="27"/>
  <c r="CG4" i="27"/>
  <c r="BC4" i="27"/>
  <c r="BH4" i="27" s="1"/>
  <c r="CI4" i="27"/>
  <c r="H4" i="27"/>
  <c r="I4" i="27"/>
  <c r="BA4" i="27"/>
  <c r="BD4" i="27"/>
  <c r="BK4" i="27"/>
  <c r="BZ4" i="27"/>
  <c r="CC4" i="27"/>
  <c r="CF4" i="27"/>
  <c r="CN4" i="27"/>
  <c r="C4" i="27"/>
  <c r="J4" i="27" s="1"/>
  <c r="G4" i="27"/>
  <c r="AP4" i="27"/>
  <c r="CE4" i="27"/>
  <c r="BQ4" i="27"/>
  <c r="CK4" i="27"/>
  <c r="CJ4" i="27"/>
  <c r="D5" i="27"/>
  <c r="BN5" i="27" s="1"/>
  <c r="CS3" i="27"/>
  <c r="CT3" i="27"/>
  <c r="BJ3" i="27"/>
  <c r="A3" i="27"/>
  <c r="CP3" i="27"/>
  <c r="CQ3" i="27"/>
  <c r="CH3" i="27"/>
  <c r="CR3" i="27"/>
  <c r="CL3" i="27"/>
  <c r="U7" i="1"/>
  <c r="U8" i="1"/>
  <c r="U9" i="1"/>
  <c r="U10" i="1"/>
  <c r="U11" i="1"/>
  <c r="U12" i="1"/>
  <c r="U13" i="1"/>
  <c r="U14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8" i="1"/>
  <c r="U239" i="1"/>
  <c r="U240" i="1"/>
  <c r="U241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S7" i="1"/>
  <c r="S8" i="1"/>
  <c r="S9" i="1"/>
  <c r="S10" i="1"/>
  <c r="S11" i="1"/>
  <c r="S12" i="1"/>
  <c r="S13" i="1"/>
  <c r="S14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8" i="1"/>
  <c r="S239" i="1"/>
  <c r="S240" i="1"/>
  <c r="S241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AS4" i="27" l="1"/>
  <c r="AT4" i="27"/>
  <c r="AV4" i="27"/>
  <c r="AX4" i="27"/>
  <c r="AU4" i="27"/>
  <c r="AW4" i="27"/>
  <c r="AY4" i="27"/>
  <c r="AZ4" i="27"/>
  <c r="AQ4" i="27"/>
  <c r="BB4" i="27" s="1"/>
  <c r="AR4" i="27"/>
  <c r="AK4" i="27"/>
  <c r="CM4" i="27"/>
  <c r="BL4" i="27"/>
  <c r="BM4" i="27" s="1"/>
  <c r="BI4" i="27"/>
  <c r="CA4" i="27"/>
  <c r="K4" i="27"/>
  <c r="L4" i="27" s="1"/>
  <c r="AL4" i="27"/>
  <c r="D6" i="27"/>
  <c r="BN6" i="27" s="1"/>
  <c r="B5" i="27"/>
  <c r="BE5" i="27" s="1"/>
  <c r="CE5" i="27"/>
  <c r="CB5" i="27"/>
  <c r="AP5" i="27"/>
  <c r="BQ5" i="27"/>
  <c r="I5" i="27"/>
  <c r="CJ5" i="27"/>
  <c r="H5" i="27"/>
  <c r="CI5" i="27"/>
  <c r="CG5" i="27"/>
  <c r="BD5" i="27"/>
  <c r="CF5" i="27"/>
  <c r="BA5" i="27"/>
  <c r="BK5" i="27"/>
  <c r="CD5" i="27"/>
  <c r="CK5" i="27"/>
  <c r="CN5" i="27"/>
  <c r="CC5" i="27"/>
  <c r="BC5" i="27"/>
  <c r="BH5" i="27" s="1"/>
  <c r="G5" i="27"/>
  <c r="BZ5" i="27"/>
  <c r="C5" i="27"/>
  <c r="J5" i="27" s="1"/>
  <c r="CS4" i="27"/>
  <c r="CT4" i="27"/>
  <c r="BJ4" i="27"/>
  <c r="CH4" i="27"/>
  <c r="CQ4" i="27"/>
  <c r="CP4" i="27"/>
  <c r="CR4" i="27"/>
  <c r="A4" i="27"/>
  <c r="CL4" i="27"/>
  <c r="AN3" i="27"/>
  <c r="BY4" i="27"/>
  <c r="BV3" i="27"/>
  <c r="CO3" i="27"/>
  <c r="AO3" i="27"/>
  <c r="E4" i="27"/>
  <c r="AM4" i="27" s="1"/>
  <c r="S382" i="1"/>
  <c r="U382" i="1"/>
  <c r="S383" i="1"/>
  <c r="U383" i="1"/>
  <c r="CM5" i="27" l="1"/>
  <c r="BL5" i="27"/>
  <c r="BM5" i="27" s="1"/>
  <c r="BI5" i="27"/>
  <c r="AK5" i="27"/>
  <c r="AQ5" i="27"/>
  <c r="BB5" i="27" s="1"/>
  <c r="AY5" i="27"/>
  <c r="AR5" i="27"/>
  <c r="AZ5" i="27"/>
  <c r="AT5" i="27"/>
  <c r="AV5" i="27"/>
  <c r="AS5" i="27"/>
  <c r="AU5" i="27"/>
  <c r="AW5" i="27"/>
  <c r="AX5" i="27"/>
  <c r="CA5" i="27"/>
  <c r="K5" i="27"/>
  <c r="L5" i="27" s="1"/>
  <c r="E5" i="27"/>
  <c r="AM5" i="27" s="1"/>
  <c r="BY5" i="27"/>
  <c r="AL5" i="27"/>
  <c r="CS5" i="27"/>
  <c r="A5" i="27"/>
  <c r="CP5" i="27"/>
  <c r="CT5" i="27"/>
  <c r="CH5" i="27"/>
  <c r="CR5" i="27"/>
  <c r="BJ5" i="27"/>
  <c r="CQ5" i="27"/>
  <c r="CL5" i="27"/>
  <c r="AN4" i="27"/>
  <c r="CO4" i="27"/>
  <c r="BV4" i="27"/>
  <c r="AO4" i="27"/>
  <c r="D7" i="27"/>
  <c r="BN7" i="27" s="1"/>
  <c r="B6" i="27"/>
  <c r="BE6" i="27" s="1"/>
  <c r="CF6" i="27"/>
  <c r="AP6" i="27"/>
  <c r="CE6" i="27"/>
  <c r="I6" i="27"/>
  <c r="CC6" i="27"/>
  <c r="G6" i="27"/>
  <c r="BC6" i="27"/>
  <c r="BH6" i="27" s="1"/>
  <c r="CB6" i="27"/>
  <c r="C6" i="27"/>
  <c r="J6" i="27" s="1"/>
  <c r="CN6" i="27"/>
  <c r="BZ6" i="27"/>
  <c r="CK6" i="27"/>
  <c r="BQ6" i="27"/>
  <c r="CJ6" i="27"/>
  <c r="CG6" i="27"/>
  <c r="BD6" i="27"/>
  <c r="BA6" i="27"/>
  <c r="CD6" i="27"/>
  <c r="BK6" i="27"/>
  <c r="CI6" i="27"/>
  <c r="H6" i="27"/>
  <c r="S366" i="1"/>
  <c r="U366" i="1"/>
  <c r="AW6" i="27" l="1"/>
  <c r="AX6" i="27"/>
  <c r="AR6" i="27"/>
  <c r="AZ6" i="27"/>
  <c r="AT6" i="27"/>
  <c r="AQ6" i="27"/>
  <c r="BB6" i="27" s="1"/>
  <c r="AS6" i="27"/>
  <c r="AU6" i="27"/>
  <c r="AV6" i="27"/>
  <c r="AY6" i="27"/>
  <c r="CM6" i="27"/>
  <c r="BL6" i="27"/>
  <c r="BM6" i="27" s="1"/>
  <c r="BI6" i="27"/>
  <c r="AK6" i="27"/>
  <c r="CA6" i="27"/>
  <c r="AL6" i="27"/>
  <c r="D8" i="27"/>
  <c r="BN8" i="27" s="1"/>
  <c r="B7" i="27"/>
  <c r="BE7" i="27" s="1"/>
  <c r="CC7" i="27"/>
  <c r="H7" i="27"/>
  <c r="G7" i="27"/>
  <c r="BZ7" i="27"/>
  <c r="C7" i="27"/>
  <c r="AK7" i="27" s="1"/>
  <c r="CN7" i="27"/>
  <c r="CK7" i="27"/>
  <c r="BD7" i="27"/>
  <c r="CI7" i="27"/>
  <c r="BC7" i="27"/>
  <c r="BH7" i="27" s="1"/>
  <c r="CG7" i="27"/>
  <c r="BA7" i="27"/>
  <c r="CF7" i="27"/>
  <c r="AP7" i="27"/>
  <c r="CB7" i="27"/>
  <c r="BK7" i="27"/>
  <c r="CE7" i="27"/>
  <c r="CD7" i="27"/>
  <c r="BQ7" i="27"/>
  <c r="I7" i="27"/>
  <c r="CJ7" i="27"/>
  <c r="AN5" i="27"/>
  <c r="BV5" i="27"/>
  <c r="AO5" i="27"/>
  <c r="CO5" i="27"/>
  <c r="K6" i="27"/>
  <c r="L6" i="27" s="1"/>
  <c r="BY6" i="27"/>
  <c r="E6" i="27"/>
  <c r="AM6" i="27" s="1"/>
  <c r="CS6" i="27"/>
  <c r="CT6" i="27"/>
  <c r="CQ6" i="27"/>
  <c r="A6" i="27"/>
  <c r="CR6" i="27"/>
  <c r="CP6" i="27"/>
  <c r="BJ6" i="27"/>
  <c r="CH6" i="27"/>
  <c r="CL6" i="27"/>
  <c r="CM7" i="27" l="1"/>
  <c r="BL7" i="27"/>
  <c r="BM7" i="27" s="1"/>
  <c r="BI7" i="27"/>
  <c r="AU7" i="27"/>
  <c r="AV7" i="27"/>
  <c r="AX7" i="27"/>
  <c r="AR7" i="27"/>
  <c r="AZ7" i="27"/>
  <c r="AW7" i="27"/>
  <c r="AY7" i="27"/>
  <c r="AQ7" i="27"/>
  <c r="BB7" i="27" s="1"/>
  <c r="AS7" i="27"/>
  <c r="AT7" i="27"/>
  <c r="BY7" i="27"/>
  <c r="J7" i="27"/>
  <c r="E7" i="27" s="1"/>
  <c r="AM7" i="27" s="1"/>
  <c r="CA7" i="27"/>
  <c r="AL7" i="27"/>
  <c r="BV6" i="27"/>
  <c r="CO6" i="27"/>
  <c r="AO6" i="27"/>
  <c r="AN6" i="27"/>
  <c r="K7" i="27"/>
  <c r="L7" i="27" s="1"/>
  <c r="CS7" i="27"/>
  <c r="CT7" i="27"/>
  <c r="A7" i="27"/>
  <c r="CH7" i="27"/>
  <c r="BJ7" i="27"/>
  <c r="CQ7" i="27"/>
  <c r="CP7" i="27"/>
  <c r="CR7" i="27"/>
  <c r="CL7" i="27"/>
  <c r="D9" i="27"/>
  <c r="BN9" i="27" s="1"/>
  <c r="B8" i="27"/>
  <c r="BE8" i="27" s="1"/>
  <c r="CG8" i="27"/>
  <c r="I8" i="27"/>
  <c r="CB8" i="27"/>
  <c r="H8" i="27"/>
  <c r="BZ8" i="27"/>
  <c r="C8" i="27"/>
  <c r="AK8" i="27" s="1"/>
  <c r="BQ8" i="27"/>
  <c r="BA8" i="27"/>
  <c r="CJ8" i="27"/>
  <c r="BD8" i="27"/>
  <c r="CI8" i="27"/>
  <c r="CN8" i="27"/>
  <c r="CD8" i="27"/>
  <c r="CF8" i="27"/>
  <c r="AP8" i="27"/>
  <c r="CK8" i="27"/>
  <c r="CC8" i="27"/>
  <c r="CE8" i="27"/>
  <c r="BC8" i="27"/>
  <c r="BH8" i="27" s="1"/>
  <c r="G8" i="27"/>
  <c r="BK8" i="27"/>
  <c r="CM8" i="27" l="1"/>
  <c r="BI8" i="27"/>
  <c r="BL8" i="27"/>
  <c r="BM8" i="27" s="1"/>
  <c r="AS8" i="27"/>
  <c r="AT8" i="27"/>
  <c r="AV8" i="27"/>
  <c r="AX8" i="27"/>
  <c r="AQ8" i="27"/>
  <c r="BB8" i="27" s="1"/>
  <c r="AR8" i="27"/>
  <c r="AU8" i="27"/>
  <c r="AW8" i="27"/>
  <c r="AY8" i="27"/>
  <c r="AZ8" i="27"/>
  <c r="BY8" i="27"/>
  <c r="J8" i="27"/>
  <c r="E8" i="27" s="1"/>
  <c r="AM8" i="27" s="1"/>
  <c r="CA8" i="27"/>
  <c r="CL8" i="27"/>
  <c r="AN7" i="27"/>
  <c r="AL8" i="27"/>
  <c r="D10" i="27"/>
  <c r="BN10" i="27" s="1"/>
  <c r="B9" i="27"/>
  <c r="BE9" i="27" s="1"/>
  <c r="CN9" i="27"/>
  <c r="BQ9" i="27"/>
  <c r="BK9" i="27"/>
  <c r="I9" i="27"/>
  <c r="CD9" i="27"/>
  <c r="CF9" i="27"/>
  <c r="BD9" i="27"/>
  <c r="BA9" i="27"/>
  <c r="H9" i="27"/>
  <c r="AP9" i="27"/>
  <c r="CB9" i="27"/>
  <c r="G9" i="27"/>
  <c r="C9" i="27"/>
  <c r="J9" i="27" s="1"/>
  <c r="CE9" i="27"/>
  <c r="CJ9" i="27"/>
  <c r="CC9" i="27"/>
  <c r="BC9" i="27"/>
  <c r="BH9" i="27" s="1"/>
  <c r="CK9" i="27"/>
  <c r="CG9" i="27"/>
  <c r="BZ9" i="27"/>
  <c r="CI9" i="27"/>
  <c r="AO7" i="27"/>
  <c r="BV7" i="27"/>
  <c r="CO7" i="27"/>
  <c r="K8" i="27"/>
  <c r="L8" i="27" s="1"/>
  <c r="CS8" i="27"/>
  <c r="A8" i="27"/>
  <c r="CH8" i="27"/>
  <c r="CT8" i="27"/>
  <c r="CP8" i="27"/>
  <c r="CR8" i="27"/>
  <c r="CQ8" i="27"/>
  <c r="BJ8" i="27"/>
  <c r="CM9" i="27" l="1"/>
  <c r="BI9" i="27"/>
  <c r="BL9" i="27"/>
  <c r="BM9" i="27" s="1"/>
  <c r="AK9" i="27"/>
  <c r="AQ9" i="27"/>
  <c r="BB9" i="27" s="1"/>
  <c r="AY9" i="27"/>
  <c r="AR9" i="27"/>
  <c r="AZ9" i="27"/>
  <c r="AT9" i="27"/>
  <c r="AV9" i="27"/>
  <c r="AS9" i="27"/>
  <c r="AU9" i="27"/>
  <c r="AW9" i="27"/>
  <c r="AX9" i="27"/>
  <c r="CA9" i="27"/>
  <c r="CL9" i="27"/>
  <c r="E9" i="27"/>
  <c r="AM9" i="27" s="1"/>
  <c r="K9" i="27"/>
  <c r="L9" i="27" s="1"/>
  <c r="AL9" i="27"/>
  <c r="D11" i="27"/>
  <c r="BN11" i="27" s="1"/>
  <c r="B10" i="27"/>
  <c r="BE10" i="27" s="1"/>
  <c r="CB10" i="27"/>
  <c r="BD10" i="27"/>
  <c r="CK10" i="27"/>
  <c r="BC10" i="27"/>
  <c r="BH10" i="27" s="1"/>
  <c r="CJ10" i="27"/>
  <c r="BA10" i="27"/>
  <c r="CI10" i="27"/>
  <c r="AP10" i="27"/>
  <c r="CF10" i="27"/>
  <c r="G10" i="27"/>
  <c r="CD10" i="27"/>
  <c r="CG10" i="27"/>
  <c r="I10" i="27"/>
  <c r="BK10" i="27"/>
  <c r="CC10" i="27"/>
  <c r="BZ10" i="27"/>
  <c r="CN10" i="27"/>
  <c r="C10" i="27"/>
  <c r="AK10" i="27" s="1"/>
  <c r="H10" i="27"/>
  <c r="CE10" i="27"/>
  <c r="BQ10" i="27"/>
  <c r="AN8" i="27"/>
  <c r="BV8" i="27"/>
  <c r="CO8" i="27"/>
  <c r="AO8" i="27"/>
  <c r="BY9" i="27"/>
  <c r="CS9" i="27"/>
  <c r="CT9" i="27"/>
  <c r="BJ9" i="27"/>
  <c r="CR9" i="27"/>
  <c r="CQ9" i="27"/>
  <c r="CP9" i="27"/>
  <c r="A9" i="27"/>
  <c r="CH9" i="27"/>
  <c r="BL10" i="27" l="1"/>
  <c r="BM10" i="27" s="1"/>
  <c r="BI10" i="27"/>
  <c r="AW10" i="27"/>
  <c r="AX10" i="27"/>
  <c r="AR10" i="27"/>
  <c r="AZ10" i="27"/>
  <c r="AT10" i="27"/>
  <c r="AY10" i="27"/>
  <c r="AQ10" i="27"/>
  <c r="BB10" i="27" s="1"/>
  <c r="AS10" i="27"/>
  <c r="AU10" i="27"/>
  <c r="AV10" i="27"/>
  <c r="AL10" i="27"/>
  <c r="J10" i="27"/>
  <c r="E10" i="27" s="1"/>
  <c r="AM10" i="27" s="1"/>
  <c r="CA10" i="27"/>
  <c r="CM10" i="27"/>
  <c r="BY10" i="27"/>
  <c r="CS10" i="27"/>
  <c r="CT10" i="27"/>
  <c r="CP10" i="27"/>
  <c r="CH10" i="27"/>
  <c r="BJ10" i="27"/>
  <c r="A10" i="27"/>
  <c r="CR10" i="27"/>
  <c r="CQ10" i="27"/>
  <c r="AN9" i="27"/>
  <c r="CL10" i="27"/>
  <c r="BV9" i="27"/>
  <c r="CO9" i="27"/>
  <c r="AO9" i="27"/>
  <c r="K10" i="27"/>
  <c r="L10" i="27" s="1"/>
  <c r="D12" i="27"/>
  <c r="BN12" i="27" s="1"/>
  <c r="B11" i="27"/>
  <c r="BE11" i="27" s="1"/>
  <c r="CK11" i="27"/>
  <c r="BQ11" i="27"/>
  <c r="CI11" i="27"/>
  <c r="CJ11" i="27"/>
  <c r="C11" i="27"/>
  <c r="J11" i="27" s="1"/>
  <c r="CG11" i="27"/>
  <c r="CE11" i="27"/>
  <c r="BD11" i="27"/>
  <c r="CD11" i="27"/>
  <c r="BC11" i="27"/>
  <c r="BH11" i="27" s="1"/>
  <c r="CC11" i="27"/>
  <c r="I11" i="27"/>
  <c r="CB11" i="27"/>
  <c r="H11" i="27"/>
  <c r="BZ11" i="27"/>
  <c r="G11" i="27"/>
  <c r="CN11" i="27"/>
  <c r="BA11" i="27"/>
  <c r="BK11" i="27"/>
  <c r="AP11" i="27"/>
  <c r="CF11" i="27"/>
  <c r="AK11" i="27" l="1"/>
  <c r="AU11" i="27"/>
  <c r="AV11" i="27"/>
  <c r="AX11" i="27"/>
  <c r="AR11" i="27"/>
  <c r="AZ11" i="27"/>
  <c r="AQ11" i="27"/>
  <c r="BB11" i="27" s="1"/>
  <c r="AS11" i="27"/>
  <c r="AT11" i="27"/>
  <c r="AW11" i="27"/>
  <c r="AY11" i="27"/>
  <c r="CM11" i="27"/>
  <c r="BL11" i="27"/>
  <c r="BM11" i="27" s="1"/>
  <c r="BI11" i="27"/>
  <c r="CA11" i="27"/>
  <c r="K11" i="27"/>
  <c r="L11" i="27" s="1"/>
  <c r="D13" i="27"/>
  <c r="BN13" i="27" s="1"/>
  <c r="B12" i="27"/>
  <c r="BE12" i="27" s="1"/>
  <c r="CK12" i="27"/>
  <c r="CI12" i="27"/>
  <c r="BD12" i="27"/>
  <c r="CF12" i="27"/>
  <c r="BA12" i="27"/>
  <c r="CE12" i="27"/>
  <c r="AP12" i="27"/>
  <c r="CC12" i="27"/>
  <c r="H12" i="27"/>
  <c r="G12" i="27"/>
  <c r="BZ12" i="27"/>
  <c r="BQ12" i="27"/>
  <c r="C12" i="27"/>
  <c r="J12" i="27" s="1"/>
  <c r="BC12" i="27"/>
  <c r="BH12" i="27" s="1"/>
  <c r="CG12" i="27"/>
  <c r="BK12" i="27"/>
  <c r="CJ12" i="27"/>
  <c r="CD12" i="27"/>
  <c r="CB12" i="27"/>
  <c r="CN12" i="27"/>
  <c r="I12" i="27"/>
  <c r="AN10" i="27"/>
  <c r="BY11" i="27"/>
  <c r="E11" i="27"/>
  <c r="AM11" i="27" s="1"/>
  <c r="AL11" i="27"/>
  <c r="AO10" i="27"/>
  <c r="BV10" i="27"/>
  <c r="CO10" i="27"/>
  <c r="CS11" i="27"/>
  <c r="CR11" i="27"/>
  <c r="CT11" i="27"/>
  <c r="CH11" i="27"/>
  <c r="CP11" i="27"/>
  <c r="BJ11" i="27"/>
  <c r="CQ11" i="27"/>
  <c r="A11" i="27"/>
  <c r="CL11" i="27"/>
  <c r="AK12" i="27" l="1"/>
  <c r="CM12" i="27"/>
  <c r="BL12" i="27"/>
  <c r="BM12" i="27" s="1"/>
  <c r="BI12" i="27"/>
  <c r="AS12" i="27"/>
  <c r="AT12" i="27"/>
  <c r="AV12" i="27"/>
  <c r="AX12" i="27"/>
  <c r="AU12" i="27"/>
  <c r="AW12" i="27"/>
  <c r="AY12" i="27"/>
  <c r="AZ12" i="27"/>
  <c r="AQ12" i="27"/>
  <c r="BB12" i="27" s="1"/>
  <c r="AR12" i="27"/>
  <c r="CA12" i="27"/>
  <c r="E12" i="27"/>
  <c r="AM12" i="27" s="1"/>
  <c r="AL12" i="27"/>
  <c r="BY12" i="27"/>
  <c r="AN11" i="27"/>
  <c r="K12" i="27"/>
  <c r="L12" i="27" s="1"/>
  <c r="BV11" i="27"/>
  <c r="AO11" i="27"/>
  <c r="CO11" i="27"/>
  <c r="CS12" i="27"/>
  <c r="CH12" i="27"/>
  <c r="CQ12" i="27"/>
  <c r="CP12" i="27"/>
  <c r="CR12" i="27"/>
  <c r="BJ12" i="27"/>
  <c r="A12" i="27"/>
  <c r="CT12" i="27"/>
  <c r="CL12" i="27"/>
  <c r="D14" i="27"/>
  <c r="BN14" i="27" s="1"/>
  <c r="B13" i="27"/>
  <c r="BE13" i="27" s="1"/>
  <c r="CN13" i="27"/>
  <c r="BK13" i="27"/>
  <c r="CK13" i="27"/>
  <c r="CF13" i="27"/>
  <c r="CC13" i="27"/>
  <c r="CJ13" i="27"/>
  <c r="BC13" i="27"/>
  <c r="BH13" i="27" s="1"/>
  <c r="BA13" i="27"/>
  <c r="G13" i="27"/>
  <c r="CI13" i="27"/>
  <c r="AP13" i="27"/>
  <c r="BZ13" i="27"/>
  <c r="BD13" i="27"/>
  <c r="H13" i="27"/>
  <c r="C13" i="27"/>
  <c r="J13" i="27" s="1"/>
  <c r="CG13" i="27"/>
  <c r="CD13" i="27"/>
  <c r="CE13" i="27"/>
  <c r="BQ13" i="27"/>
  <c r="CB13" i="27"/>
  <c r="I13" i="27"/>
  <c r="CM13" i="27" l="1"/>
  <c r="BI13" i="27"/>
  <c r="BL13" i="27"/>
  <c r="BM13" i="27" s="1"/>
  <c r="AK13" i="27"/>
  <c r="AQ13" i="27"/>
  <c r="BB13" i="27" s="1"/>
  <c r="AY13" i="27"/>
  <c r="AR13" i="27"/>
  <c r="AZ13" i="27"/>
  <c r="AT13" i="27"/>
  <c r="AV13" i="27"/>
  <c r="AS13" i="27"/>
  <c r="AU13" i="27"/>
  <c r="AW13" i="27"/>
  <c r="AX13" i="27"/>
  <c r="CA13" i="27"/>
  <c r="CL13" i="27"/>
  <c r="K13" i="27"/>
  <c r="L13" i="27" s="1"/>
  <c r="D15" i="27"/>
  <c r="BN15" i="27" s="1"/>
  <c r="B14" i="27"/>
  <c r="BE14" i="27" s="1"/>
  <c r="CF14" i="27"/>
  <c r="AP14" i="27"/>
  <c r="CE14" i="27"/>
  <c r="I14" i="27"/>
  <c r="CC14" i="27"/>
  <c r="G14" i="27"/>
  <c r="CB14" i="27"/>
  <c r="C14" i="27"/>
  <c r="AK14" i="27" s="1"/>
  <c r="CN14" i="27"/>
  <c r="BZ14" i="27"/>
  <c r="CK14" i="27"/>
  <c r="BQ14" i="27"/>
  <c r="CJ14" i="27"/>
  <c r="CG14" i="27"/>
  <c r="BC14" i="27"/>
  <c r="BH14" i="27" s="1"/>
  <c r="BD14" i="27"/>
  <c r="BA14" i="27"/>
  <c r="CD14" i="27"/>
  <c r="BK14" i="27"/>
  <c r="CI14" i="27"/>
  <c r="H14" i="27"/>
  <c r="AL13" i="27"/>
  <c r="AN12" i="27"/>
  <c r="CS13" i="27"/>
  <c r="CR13" i="27"/>
  <c r="CQ13" i="27"/>
  <c r="CP13" i="27"/>
  <c r="A13" i="27"/>
  <c r="CH13" i="27"/>
  <c r="BJ13" i="27"/>
  <c r="CT13" i="27"/>
  <c r="E13" i="27"/>
  <c r="AM13" i="27" s="1"/>
  <c r="BY13" i="27"/>
  <c r="CO12" i="27"/>
  <c r="AO12" i="27"/>
  <c r="BV12" i="27"/>
  <c r="M2" i="1"/>
  <c r="AW14" i="27" l="1"/>
  <c r="AX14" i="27"/>
  <c r="AR14" i="27"/>
  <c r="AZ14" i="27"/>
  <c r="AT14" i="27"/>
  <c r="AQ14" i="27"/>
  <c r="BB14" i="27" s="1"/>
  <c r="AS14" i="27"/>
  <c r="AU14" i="27"/>
  <c r="AV14" i="27"/>
  <c r="AY14" i="27"/>
  <c r="CM14" i="27"/>
  <c r="BL14" i="27"/>
  <c r="BM14" i="27" s="1"/>
  <c r="BI14" i="27"/>
  <c r="BY14" i="27"/>
  <c r="J14" i="27"/>
  <c r="E14" i="27" s="1"/>
  <c r="AM14" i="27" s="1"/>
  <c r="CA14" i="27"/>
  <c r="K14" i="27"/>
  <c r="L14" i="27" s="1"/>
  <c r="AN13" i="27"/>
  <c r="AL14" i="27"/>
  <c r="CS14" i="27"/>
  <c r="A14" i="27"/>
  <c r="BJ14" i="27"/>
  <c r="CP14" i="27"/>
  <c r="CH14" i="27"/>
  <c r="CR14" i="27"/>
  <c r="CT14" i="27"/>
  <c r="CQ14" i="27"/>
  <c r="CL14" i="27"/>
  <c r="AO13" i="27"/>
  <c r="BV13" i="27"/>
  <c r="CO13" i="27"/>
  <c r="D16" i="27"/>
  <c r="BN16" i="27" s="1"/>
  <c r="B15" i="27"/>
  <c r="BE15" i="27" s="1"/>
  <c r="CD15" i="27"/>
  <c r="BK15" i="27"/>
  <c r="BQ15" i="27"/>
  <c r="CN15" i="27"/>
  <c r="BC15" i="27"/>
  <c r="BH15" i="27" s="1"/>
  <c r="CC15" i="27"/>
  <c r="CG15" i="27"/>
  <c r="I15" i="27"/>
  <c r="C15" i="27"/>
  <c r="J15" i="27" s="1"/>
  <c r="CJ15" i="27"/>
  <c r="BA15" i="27"/>
  <c r="CB15" i="27"/>
  <c r="CK15" i="27"/>
  <c r="H15" i="27"/>
  <c r="CF15" i="27"/>
  <c r="BZ15" i="27"/>
  <c r="AP15" i="27"/>
  <c r="CI15" i="27"/>
  <c r="CE15" i="27"/>
  <c r="G15" i="27"/>
  <c r="BD15" i="27"/>
  <c r="AK15" i="27" l="1"/>
  <c r="CM15" i="27"/>
  <c r="BI15" i="27"/>
  <c r="BL15" i="27"/>
  <c r="BM15" i="27" s="1"/>
  <c r="AU15" i="27"/>
  <c r="AV15" i="27"/>
  <c r="AX15" i="27"/>
  <c r="AR15" i="27"/>
  <c r="AZ15" i="27"/>
  <c r="AW15" i="27"/>
  <c r="AY15" i="27"/>
  <c r="AQ15" i="27"/>
  <c r="BB15" i="27" s="1"/>
  <c r="AS15" i="27"/>
  <c r="AT15" i="27"/>
  <c r="CA15" i="27"/>
  <c r="BY15" i="27"/>
  <c r="AL15" i="27"/>
  <c r="K15" i="27"/>
  <c r="L15" i="27" s="1"/>
  <c r="D17" i="27"/>
  <c r="BN17" i="27" s="1"/>
  <c r="B16" i="27"/>
  <c r="BE16" i="27" s="1"/>
  <c r="C16" i="27"/>
  <c r="J16" i="27" s="1"/>
  <c r="CE16" i="27"/>
  <c r="CB16" i="27"/>
  <c r="BQ16" i="27"/>
  <c r="I16" i="27"/>
  <c r="CJ16" i="27"/>
  <c r="CN16" i="27"/>
  <c r="CD16" i="27"/>
  <c r="H16" i="27"/>
  <c r="CF16" i="27"/>
  <c r="BA16" i="27"/>
  <c r="AP16" i="27"/>
  <c r="CK16" i="27"/>
  <c r="CG16" i="27"/>
  <c r="BD16" i="27"/>
  <c r="BZ16" i="27"/>
  <c r="CC16" i="27"/>
  <c r="BC16" i="27"/>
  <c r="BH16" i="27" s="1"/>
  <c r="CI16" i="27"/>
  <c r="G16" i="27"/>
  <c r="BK16" i="27"/>
  <c r="E15" i="27"/>
  <c r="AM15" i="27" s="1"/>
  <c r="AN14" i="27"/>
  <c r="AO14" i="27"/>
  <c r="BV14" i="27"/>
  <c r="CO14" i="27"/>
  <c r="CS15" i="27"/>
  <c r="CH15" i="27"/>
  <c r="CR15" i="27"/>
  <c r="CQ15" i="27"/>
  <c r="CP15" i="27"/>
  <c r="BJ15" i="27"/>
  <c r="A15" i="27"/>
  <c r="CT15" i="27"/>
  <c r="CL15" i="27"/>
  <c r="AK16" i="27" l="1"/>
  <c r="CM16" i="27"/>
  <c r="BI16" i="27"/>
  <c r="BL16" i="27"/>
  <c r="BM16" i="27" s="1"/>
  <c r="AS16" i="27"/>
  <c r="AT16" i="27"/>
  <c r="AV16" i="27"/>
  <c r="AX16" i="27"/>
  <c r="AQ16" i="27"/>
  <c r="BB16" i="27" s="1"/>
  <c r="AR16" i="27"/>
  <c r="AU16" i="27"/>
  <c r="AW16" i="27"/>
  <c r="AY16" i="27"/>
  <c r="AZ16" i="27"/>
  <c r="CA16" i="27"/>
  <c r="AL16" i="27"/>
  <c r="E16" i="27"/>
  <c r="AM16" i="27" s="1"/>
  <c r="BY16" i="27"/>
  <c r="K16" i="27"/>
  <c r="L16" i="27" s="1"/>
  <c r="CS16" i="27"/>
  <c r="CP16" i="27"/>
  <c r="CT16" i="27"/>
  <c r="BJ16" i="27"/>
  <c r="CH16" i="27"/>
  <c r="CR16" i="27"/>
  <c r="A16" i="27"/>
  <c r="CQ16" i="27"/>
  <c r="CL16" i="27"/>
  <c r="D18" i="27"/>
  <c r="BN18" i="27" s="1"/>
  <c r="B17" i="27"/>
  <c r="BE17" i="27" s="1"/>
  <c r="G17" i="27"/>
  <c r="CF17" i="27"/>
  <c r="BA17" i="27"/>
  <c r="AP17" i="27"/>
  <c r="CI17" i="27"/>
  <c r="BC17" i="27"/>
  <c r="BH17" i="27" s="1"/>
  <c r="BZ17" i="27"/>
  <c r="CG17" i="27"/>
  <c r="CJ17" i="27"/>
  <c r="CD17" i="27"/>
  <c r="CE17" i="27"/>
  <c r="BD17" i="27"/>
  <c r="H17" i="27"/>
  <c r="C17" i="27"/>
  <c r="J17" i="27" s="1"/>
  <c r="BK17" i="27"/>
  <c r="I17" i="27"/>
  <c r="CK17" i="27"/>
  <c r="CC17" i="27"/>
  <c r="BQ17" i="27"/>
  <c r="CB17" i="27"/>
  <c r="CN17" i="27"/>
  <c r="AO15" i="27"/>
  <c r="CO15" i="27"/>
  <c r="BV15" i="27"/>
  <c r="AN15" i="27"/>
  <c r="AQ17" i="27" l="1"/>
  <c r="BB17" i="27" s="1"/>
  <c r="AY17" i="27"/>
  <c r="AR17" i="27"/>
  <c r="AZ17" i="27"/>
  <c r="AT17" i="27"/>
  <c r="AV17" i="27"/>
  <c r="AS17" i="27"/>
  <c r="AU17" i="27"/>
  <c r="AW17" i="27"/>
  <c r="AX17" i="27"/>
  <c r="AK17" i="27"/>
  <c r="CM17" i="27"/>
  <c r="BI17" i="27"/>
  <c r="BL17" i="27"/>
  <c r="BM17" i="27" s="1"/>
  <c r="CA17" i="27"/>
  <c r="K17" i="27"/>
  <c r="L17" i="27" s="1"/>
  <c r="CS17" i="27"/>
  <c r="A17" i="27"/>
  <c r="CQ17" i="27"/>
  <c r="CT17" i="27"/>
  <c r="CR17" i="27"/>
  <c r="CH17" i="27"/>
  <c r="CP17" i="27"/>
  <c r="BJ17" i="27"/>
  <c r="CL17" i="27"/>
  <c r="D19" i="27"/>
  <c r="BN19" i="27" s="1"/>
  <c r="B18" i="27"/>
  <c r="BE18" i="27" s="1"/>
  <c r="CG18" i="27"/>
  <c r="CD18" i="27"/>
  <c r="BD18" i="27"/>
  <c r="H18" i="27"/>
  <c r="CJ18" i="27"/>
  <c r="CB18" i="27"/>
  <c r="BZ18" i="27"/>
  <c r="CN18" i="27"/>
  <c r="CI18" i="27"/>
  <c r="C18" i="27"/>
  <c r="J18" i="27" s="1"/>
  <c r="CE18" i="27"/>
  <c r="G18" i="27"/>
  <c r="BQ18" i="27"/>
  <c r="AP18" i="27"/>
  <c r="CK18" i="27"/>
  <c r="BA18" i="27"/>
  <c r="I18" i="27"/>
  <c r="CF18" i="27"/>
  <c r="BK18" i="27"/>
  <c r="CC18" i="27"/>
  <c r="BC18" i="27"/>
  <c r="BH18" i="27" s="1"/>
  <c r="AN16" i="27"/>
  <c r="E17" i="27"/>
  <c r="AM17" i="27" s="1"/>
  <c r="AL17" i="27"/>
  <c r="BY17" i="27"/>
  <c r="BV16" i="27"/>
  <c r="CO16" i="27"/>
  <c r="AO16" i="27"/>
  <c r="AW18" i="27" l="1"/>
  <c r="AX18" i="27"/>
  <c r="AR18" i="27"/>
  <c r="AZ18" i="27"/>
  <c r="AT18" i="27"/>
  <c r="AY18" i="27"/>
  <c r="AQ18" i="27"/>
  <c r="BB18" i="27" s="1"/>
  <c r="AS18" i="27"/>
  <c r="AU18" i="27"/>
  <c r="AV18" i="27"/>
  <c r="BL18" i="27"/>
  <c r="BM18" i="27" s="1"/>
  <c r="BI18" i="27"/>
  <c r="BY18" i="27"/>
  <c r="AK18" i="27"/>
  <c r="CA18" i="27"/>
  <c r="CM18" i="27"/>
  <c r="K18" i="27"/>
  <c r="L18" i="27" s="1"/>
  <c r="AL18" i="27"/>
  <c r="CS18" i="27"/>
  <c r="A18" i="27"/>
  <c r="CT18" i="27"/>
  <c r="CP18" i="27"/>
  <c r="CR18" i="27"/>
  <c r="CH18" i="27"/>
  <c r="BJ18" i="27"/>
  <c r="CQ18" i="27"/>
  <c r="CL18" i="27"/>
  <c r="D20" i="27"/>
  <c r="BN20" i="27" s="1"/>
  <c r="B19" i="27"/>
  <c r="BE19" i="27" s="1"/>
  <c r="CD19" i="27"/>
  <c r="BC19" i="27"/>
  <c r="BH19" i="27" s="1"/>
  <c r="CC19" i="27"/>
  <c r="I19" i="27"/>
  <c r="CB19" i="27"/>
  <c r="H19" i="27"/>
  <c r="BZ19" i="27"/>
  <c r="G19" i="27"/>
  <c r="CK19" i="27"/>
  <c r="BQ19" i="27"/>
  <c r="CI19" i="27"/>
  <c r="CJ19" i="27"/>
  <c r="C19" i="27"/>
  <c r="J19" i="27" s="1"/>
  <c r="CG19" i="27"/>
  <c r="CE19" i="27"/>
  <c r="BD19" i="27"/>
  <c r="CF19" i="27"/>
  <c r="CN19" i="27"/>
  <c r="BA19" i="27"/>
  <c r="BK19" i="27"/>
  <c r="AP19" i="27"/>
  <c r="BV17" i="27"/>
  <c r="CO17" i="27"/>
  <c r="AO17" i="27"/>
  <c r="E18" i="27"/>
  <c r="AM18" i="27" s="1"/>
  <c r="AN17" i="27"/>
  <c r="AK19" i="27" l="1"/>
  <c r="AU19" i="27"/>
  <c r="AV19" i="27"/>
  <c r="AX19" i="27"/>
  <c r="AR19" i="27"/>
  <c r="AZ19" i="27"/>
  <c r="AQ19" i="27"/>
  <c r="BB19" i="27" s="1"/>
  <c r="AS19" i="27"/>
  <c r="AT19" i="27"/>
  <c r="AW19" i="27"/>
  <c r="AY19" i="27"/>
  <c r="BL19" i="27"/>
  <c r="BM19" i="27" s="1"/>
  <c r="BI19" i="27"/>
  <c r="CA19" i="27"/>
  <c r="CM19" i="27"/>
  <c r="CS19" i="27"/>
  <c r="CQ19" i="27"/>
  <c r="CH19" i="27"/>
  <c r="CP19" i="27"/>
  <c r="CT19" i="27"/>
  <c r="BJ19" i="27"/>
  <c r="CR19" i="27"/>
  <c r="A19" i="27"/>
  <c r="CL19" i="27"/>
  <c r="AL19" i="27"/>
  <c r="E19" i="27"/>
  <c r="AM19" i="27" s="1"/>
  <c r="D21" i="27"/>
  <c r="BN21" i="27" s="1"/>
  <c r="B20" i="27"/>
  <c r="BE20" i="27" s="1"/>
  <c r="CC20" i="27"/>
  <c r="H20" i="27"/>
  <c r="CK20" i="27"/>
  <c r="CN20" i="27"/>
  <c r="BK20" i="27"/>
  <c r="CE20" i="27"/>
  <c r="CJ20" i="27"/>
  <c r="BD20" i="27"/>
  <c r="BA20" i="27"/>
  <c r="CB20" i="27"/>
  <c r="BQ20" i="27"/>
  <c r="BZ20" i="27"/>
  <c r="I20" i="27"/>
  <c r="C20" i="27"/>
  <c r="J20" i="27" s="1"/>
  <c r="CD20" i="27"/>
  <c r="CI20" i="27"/>
  <c r="CG20" i="27"/>
  <c r="CF20" i="27"/>
  <c r="BC20" i="27"/>
  <c r="BH20" i="27" s="1"/>
  <c r="G20" i="27"/>
  <c r="AP20" i="27"/>
  <c r="BY19" i="27"/>
  <c r="K19" i="27"/>
  <c r="L19" i="27" s="1"/>
  <c r="CO18" i="27"/>
  <c r="AO18" i="27"/>
  <c r="BV18" i="27"/>
  <c r="AN18" i="27"/>
  <c r="AL20" i="27" l="1"/>
  <c r="AS20" i="27"/>
  <c r="AT20" i="27"/>
  <c r="AV20" i="27"/>
  <c r="AX20" i="27"/>
  <c r="AU20" i="27"/>
  <c r="AW20" i="27"/>
  <c r="AY20" i="27"/>
  <c r="AZ20" i="27"/>
  <c r="AQ20" i="27"/>
  <c r="BB20" i="27" s="1"/>
  <c r="AR20" i="27"/>
  <c r="CM20" i="27"/>
  <c r="BL20" i="27"/>
  <c r="BM20" i="27" s="1"/>
  <c r="BI20" i="27"/>
  <c r="AK20" i="27"/>
  <c r="CA20" i="27"/>
  <c r="K20" i="27"/>
  <c r="L20" i="27" s="1"/>
  <c r="E20" i="27"/>
  <c r="AM20" i="27" s="1"/>
  <c r="BY20" i="27"/>
  <c r="CS20" i="27"/>
  <c r="CQ20" i="27"/>
  <c r="A20" i="27"/>
  <c r="CR20" i="27"/>
  <c r="CT20" i="27"/>
  <c r="CP20" i="27"/>
  <c r="CH20" i="27"/>
  <c r="BJ20" i="27"/>
  <c r="CL20" i="27"/>
  <c r="AN19" i="27"/>
  <c r="D22" i="27"/>
  <c r="BN22" i="27" s="1"/>
  <c r="B21" i="27"/>
  <c r="BE21" i="27" s="1"/>
  <c r="CJ21" i="27"/>
  <c r="CG21" i="27"/>
  <c r="BD21" i="27"/>
  <c r="CF21" i="27"/>
  <c r="AP21" i="27"/>
  <c r="CE21" i="27"/>
  <c r="I21" i="27"/>
  <c r="CD21" i="27"/>
  <c r="H21" i="27"/>
  <c r="CB21" i="27"/>
  <c r="CK21" i="27"/>
  <c r="BQ21" i="27"/>
  <c r="CN21" i="27"/>
  <c r="BC21" i="27"/>
  <c r="BH21" i="27" s="1"/>
  <c r="CI21" i="27"/>
  <c r="CC21" i="27"/>
  <c r="C21" i="27"/>
  <c r="J21" i="27" s="1"/>
  <c r="BZ21" i="27"/>
  <c r="BA21" i="27"/>
  <c r="BK21" i="27"/>
  <c r="G21" i="27"/>
  <c r="AO19" i="27"/>
  <c r="CO19" i="27"/>
  <c r="BV19" i="27"/>
  <c r="U363" i="1"/>
  <c r="U364" i="1"/>
  <c r="U365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6" i="1"/>
  <c r="AK21" i="27" l="1"/>
  <c r="AQ21" i="27"/>
  <c r="BB21" i="27" s="1"/>
  <c r="AY21" i="27"/>
  <c r="AR21" i="27"/>
  <c r="AZ21" i="27"/>
  <c r="AT21" i="27"/>
  <c r="AV21" i="27"/>
  <c r="AS21" i="27"/>
  <c r="AU21" i="27"/>
  <c r="AW21" i="27"/>
  <c r="AX21" i="27"/>
  <c r="CM21" i="27"/>
  <c r="BI21" i="27"/>
  <c r="BL21" i="27"/>
  <c r="BM21" i="27" s="1"/>
  <c r="CA21" i="27"/>
  <c r="K21" i="27"/>
  <c r="L21" i="27" s="1"/>
  <c r="E21" i="27"/>
  <c r="AM21" i="27" s="1"/>
  <c r="AL21" i="27"/>
  <c r="BY21" i="27"/>
  <c r="CO20" i="27"/>
  <c r="BV20" i="27"/>
  <c r="AO20" i="27"/>
  <c r="CS21" i="27"/>
  <c r="A21" i="27"/>
  <c r="CT21" i="27"/>
  <c r="CQ21" i="27"/>
  <c r="CP21" i="27"/>
  <c r="CR21" i="27"/>
  <c r="CH21" i="27"/>
  <c r="BJ21" i="27"/>
  <c r="CL21" i="27"/>
  <c r="D23" i="27"/>
  <c r="BN23" i="27" s="1"/>
  <c r="B22" i="27"/>
  <c r="BE22" i="27" s="1"/>
  <c r="CJ22" i="27"/>
  <c r="CG22" i="27"/>
  <c r="CF22" i="27"/>
  <c r="BC22" i="27"/>
  <c r="BH22" i="27" s="1"/>
  <c r="CE22" i="27"/>
  <c r="AP22" i="27"/>
  <c r="CC22" i="27"/>
  <c r="I22" i="27"/>
  <c r="CB22" i="27"/>
  <c r="G22" i="27"/>
  <c r="CN22" i="27"/>
  <c r="BZ22" i="27"/>
  <c r="C22" i="27"/>
  <c r="J22" i="27" s="1"/>
  <c r="CK22" i="27"/>
  <c r="BQ22" i="27"/>
  <c r="CI22" i="27"/>
  <c r="H22" i="27"/>
  <c r="BD22" i="27"/>
  <c r="BA22" i="27"/>
  <c r="CD22" i="27"/>
  <c r="BK22" i="27"/>
  <c r="AN20" i="27"/>
  <c r="AK22" i="27" l="1"/>
  <c r="AW22" i="27"/>
  <c r="AX22" i="27"/>
  <c r="AR22" i="27"/>
  <c r="AZ22" i="27"/>
  <c r="AT22" i="27"/>
  <c r="AQ22" i="27"/>
  <c r="BB22" i="27" s="1"/>
  <c r="AS22" i="27"/>
  <c r="AU22" i="27"/>
  <c r="AV22" i="27"/>
  <c r="AY22" i="27"/>
  <c r="CM22" i="27"/>
  <c r="BL22" i="27"/>
  <c r="BM22" i="27" s="1"/>
  <c r="BI22" i="27"/>
  <c r="CA22" i="27"/>
  <c r="BY22" i="27"/>
  <c r="AL22" i="27"/>
  <c r="CS22" i="27"/>
  <c r="BJ22" i="27"/>
  <c r="CP22" i="27"/>
  <c r="A22" i="27"/>
  <c r="CH22" i="27"/>
  <c r="CQ22" i="27"/>
  <c r="CR22" i="27"/>
  <c r="CT22" i="27"/>
  <c r="CL22" i="27"/>
  <c r="E22" i="27"/>
  <c r="AM22" i="27" s="1"/>
  <c r="D24" i="27"/>
  <c r="BN24" i="27" s="1"/>
  <c r="B23" i="27"/>
  <c r="BE23" i="27" s="1"/>
  <c r="BD23" i="27"/>
  <c r="BA23" i="27"/>
  <c r="AP23" i="27"/>
  <c r="CG23" i="27"/>
  <c r="H23" i="27"/>
  <c r="CF23" i="27"/>
  <c r="CD23" i="27"/>
  <c r="CE23" i="27"/>
  <c r="CJ23" i="27"/>
  <c r="BQ23" i="27"/>
  <c r="CB23" i="27"/>
  <c r="I23" i="27"/>
  <c r="BK23" i="27"/>
  <c r="CK23" i="27"/>
  <c r="CI23" i="27"/>
  <c r="CC23" i="27"/>
  <c r="CN23" i="27"/>
  <c r="BZ23" i="27"/>
  <c r="BC23" i="27"/>
  <c r="BH23" i="27" s="1"/>
  <c r="C23" i="27"/>
  <c r="J23" i="27" s="1"/>
  <c r="G23" i="27"/>
  <c r="AN21" i="27"/>
  <c r="K22" i="27"/>
  <c r="L22" i="27" s="1"/>
  <c r="BV21" i="27"/>
  <c r="AO21" i="27"/>
  <c r="CO21" i="27"/>
  <c r="S384" i="1"/>
  <c r="S385" i="1"/>
  <c r="S386" i="1"/>
  <c r="S387" i="1"/>
  <c r="S388" i="1"/>
  <c r="S389" i="1"/>
  <c r="AK23" i="27" l="1"/>
  <c r="CM23" i="27"/>
  <c r="BI23" i="27"/>
  <c r="BL23" i="27"/>
  <c r="BM23" i="27" s="1"/>
  <c r="AU23" i="27"/>
  <c r="AV23" i="27"/>
  <c r="AX23" i="27"/>
  <c r="AR23" i="27"/>
  <c r="AZ23" i="27"/>
  <c r="AW23" i="27"/>
  <c r="AY23" i="27"/>
  <c r="AQ23" i="27"/>
  <c r="BB23" i="27" s="1"/>
  <c r="AS23" i="27"/>
  <c r="AT23" i="27"/>
  <c r="CA23" i="27"/>
  <c r="CL23" i="27"/>
  <c r="E23" i="27"/>
  <c r="AM23" i="27" s="1"/>
  <c r="AN22" i="27"/>
  <c r="D25" i="27"/>
  <c r="BN25" i="27" s="1"/>
  <c r="B24" i="27"/>
  <c r="BE24" i="27" s="1"/>
  <c r="I24" i="27"/>
  <c r="CJ24" i="27"/>
  <c r="CI24" i="27"/>
  <c r="CG24" i="27"/>
  <c r="C24" i="27"/>
  <c r="J24" i="27" s="1"/>
  <c r="CE24" i="27"/>
  <c r="CB24" i="27"/>
  <c r="BZ24" i="27"/>
  <c r="BQ24" i="27"/>
  <c r="CF24" i="27"/>
  <c r="CN24" i="27"/>
  <c r="G24" i="27"/>
  <c r="BA24" i="27"/>
  <c r="BC24" i="27"/>
  <c r="BH24" i="27" s="1"/>
  <c r="BK24" i="27"/>
  <c r="CC24" i="27"/>
  <c r="H24" i="27"/>
  <c r="CK24" i="27"/>
  <c r="BD24" i="27"/>
  <c r="CD24" i="27"/>
  <c r="AP24" i="27"/>
  <c r="BV22" i="27"/>
  <c r="CO22" i="27"/>
  <c r="AO22" i="27"/>
  <c r="BY23" i="27"/>
  <c r="K23" i="27"/>
  <c r="L23" i="27" s="1"/>
  <c r="AL23" i="27"/>
  <c r="CS23" i="27"/>
  <c r="A23" i="27"/>
  <c r="CQ23" i="27"/>
  <c r="CP23" i="27"/>
  <c r="CH23" i="27"/>
  <c r="BJ23" i="27"/>
  <c r="CR23" i="27"/>
  <c r="CT23" i="27"/>
  <c r="BI24" i="27" l="1"/>
  <c r="BL24" i="27"/>
  <c r="BM24" i="27" s="1"/>
  <c r="AS24" i="27"/>
  <c r="AT24" i="27"/>
  <c r="AV24" i="27"/>
  <c r="AX24" i="27"/>
  <c r="AQ24" i="27"/>
  <c r="BB24" i="27" s="1"/>
  <c r="AR24" i="27"/>
  <c r="AU24" i="27"/>
  <c r="AW24" i="27"/>
  <c r="AY24" i="27"/>
  <c r="AZ24" i="27"/>
  <c r="AK24" i="27"/>
  <c r="CA24" i="27"/>
  <c r="CM24" i="27"/>
  <c r="E24" i="27"/>
  <c r="AM24" i="27" s="1"/>
  <c r="K24" i="27"/>
  <c r="L24" i="27" s="1"/>
  <c r="AL24" i="27"/>
  <c r="BY24" i="27"/>
  <c r="AO23" i="27"/>
  <c r="BV23" i="27"/>
  <c r="CO23" i="27"/>
  <c r="AN23" i="27"/>
  <c r="CS24" i="27"/>
  <c r="CR24" i="27"/>
  <c r="CP24" i="27"/>
  <c r="CQ24" i="27"/>
  <c r="A24" i="27"/>
  <c r="CT24" i="27"/>
  <c r="BJ24" i="27"/>
  <c r="CH24" i="27"/>
  <c r="CL24" i="27"/>
  <c r="D26" i="27"/>
  <c r="BN26" i="27" s="1"/>
  <c r="B25" i="27"/>
  <c r="BE25" i="27" s="1"/>
  <c r="CK25" i="27"/>
  <c r="CC25" i="27"/>
  <c r="BC25" i="27"/>
  <c r="BH25" i="27" s="1"/>
  <c r="BA25" i="27"/>
  <c r="G25" i="27"/>
  <c r="CF25" i="27"/>
  <c r="C25" i="27"/>
  <c r="CN25" i="27"/>
  <c r="CB25" i="27"/>
  <c r="CD25" i="27"/>
  <c r="CG25" i="27"/>
  <c r="BD25" i="27"/>
  <c r="H25" i="27"/>
  <c r="CE25" i="27"/>
  <c r="BK25" i="27"/>
  <c r="AP25" i="27"/>
  <c r="BQ25" i="27"/>
  <c r="CI25" i="27"/>
  <c r="BZ25" i="27"/>
  <c r="CJ25" i="27"/>
  <c r="I25" i="27"/>
  <c r="BI25" i="27" l="1"/>
  <c r="BL25" i="27"/>
  <c r="BM25" i="27" s="1"/>
  <c r="AL25" i="27"/>
  <c r="J25" i="27"/>
  <c r="E25" i="27" s="1"/>
  <c r="AM25" i="27" s="1"/>
  <c r="AK25" i="27"/>
  <c r="AQ25" i="27"/>
  <c r="BB25" i="27" s="1"/>
  <c r="AY25" i="27"/>
  <c r="AR25" i="27"/>
  <c r="AZ25" i="27"/>
  <c r="AT25" i="27"/>
  <c r="AV25" i="27"/>
  <c r="AS25" i="27"/>
  <c r="AU25" i="27"/>
  <c r="AW25" i="27"/>
  <c r="AX25" i="27"/>
  <c r="CA25" i="27"/>
  <c r="CM25" i="27"/>
  <c r="K25" i="27"/>
  <c r="L25" i="27" s="1"/>
  <c r="CS25" i="27"/>
  <c r="BJ25" i="27"/>
  <c r="A25" i="27"/>
  <c r="CQ25" i="27"/>
  <c r="CR25" i="27"/>
  <c r="CP25" i="27"/>
  <c r="CT25" i="27"/>
  <c r="CH25" i="27"/>
  <c r="CL25" i="27"/>
  <c r="D27" i="27"/>
  <c r="BN27" i="27" s="1"/>
  <c r="B26" i="27"/>
  <c r="BE26" i="27" s="1"/>
  <c r="CG26" i="27"/>
  <c r="H26" i="27"/>
  <c r="BD26" i="27"/>
  <c r="BC26" i="27"/>
  <c r="BH26" i="27" s="1"/>
  <c r="BQ26" i="27"/>
  <c r="CD26" i="27"/>
  <c r="G26" i="27"/>
  <c r="BZ26" i="27"/>
  <c r="I26" i="27"/>
  <c r="CB26" i="27"/>
  <c r="C26" i="27"/>
  <c r="J26" i="27" s="1"/>
  <c r="BK26" i="27"/>
  <c r="CN26" i="27"/>
  <c r="CI26" i="27"/>
  <c r="CF26" i="27"/>
  <c r="CK26" i="27"/>
  <c r="AP26" i="27"/>
  <c r="CJ26" i="27"/>
  <c r="BA26" i="27"/>
  <c r="CC26" i="27"/>
  <c r="CE26" i="27"/>
  <c r="BV24" i="27"/>
  <c r="AO24" i="27"/>
  <c r="CO24" i="27"/>
  <c r="BY25" i="27"/>
  <c r="AN24" i="27"/>
  <c r="AW26" i="27" l="1"/>
  <c r="AX26" i="27"/>
  <c r="AR26" i="27"/>
  <c r="AZ26" i="27"/>
  <c r="AT26" i="27"/>
  <c r="AY26" i="27"/>
  <c r="AQ26" i="27"/>
  <c r="BB26" i="27" s="1"/>
  <c r="AS26" i="27"/>
  <c r="AU26" i="27"/>
  <c r="AV26" i="27"/>
  <c r="AK26" i="27"/>
  <c r="CM26" i="27"/>
  <c r="BL26" i="27"/>
  <c r="BM26" i="27" s="1"/>
  <c r="BI26" i="27"/>
  <c r="CA26" i="27"/>
  <c r="AL26" i="27"/>
  <c r="BY26" i="27"/>
  <c r="K26" i="27"/>
  <c r="L26" i="27" s="1"/>
  <c r="AN25" i="27"/>
  <c r="CO25" i="27"/>
  <c r="AO25" i="27"/>
  <c r="BV25" i="27"/>
  <c r="CS26" i="27"/>
  <c r="A26" i="27"/>
  <c r="CT26" i="27"/>
  <c r="CR26" i="27"/>
  <c r="CP26" i="27"/>
  <c r="CQ26" i="27"/>
  <c r="CH26" i="27"/>
  <c r="BJ26" i="27"/>
  <c r="CL26" i="27"/>
  <c r="E26" i="27"/>
  <c r="AM26" i="27" s="1"/>
  <c r="D28" i="27"/>
  <c r="BN28" i="27" s="1"/>
  <c r="B27" i="27"/>
  <c r="BE27" i="27" s="1"/>
  <c r="CD27" i="27"/>
  <c r="BC27" i="27"/>
  <c r="BH27" i="27" s="1"/>
  <c r="CC27" i="27"/>
  <c r="I27" i="27"/>
  <c r="CB27" i="27"/>
  <c r="H27" i="27"/>
  <c r="BZ27" i="27"/>
  <c r="G27" i="27"/>
  <c r="CK27" i="27"/>
  <c r="BQ27" i="27"/>
  <c r="CI27" i="27"/>
  <c r="CJ27" i="27"/>
  <c r="C27" i="27"/>
  <c r="CG27" i="27"/>
  <c r="CE27" i="27"/>
  <c r="BD27" i="27"/>
  <c r="CF27" i="27"/>
  <c r="CN27" i="27"/>
  <c r="BA27" i="27"/>
  <c r="BK27" i="27"/>
  <c r="AP27" i="27"/>
  <c r="S390" i="1"/>
  <c r="S391" i="1"/>
  <c r="S392" i="1"/>
  <c r="S393" i="1"/>
  <c r="S394" i="1"/>
  <c r="S395" i="1"/>
  <c r="S396" i="1"/>
  <c r="S397" i="1"/>
  <c r="S381" i="1"/>
  <c r="S363" i="1"/>
  <c r="S364" i="1"/>
  <c r="S365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CM27" i="27" l="1"/>
  <c r="BL27" i="27"/>
  <c r="BM27" i="27" s="1"/>
  <c r="BI27" i="27"/>
  <c r="BY27" i="27"/>
  <c r="J27" i="27"/>
  <c r="E27" i="27" s="1"/>
  <c r="AM27" i="27" s="1"/>
  <c r="AU27" i="27"/>
  <c r="AV27" i="27"/>
  <c r="AX27" i="27"/>
  <c r="AR27" i="27"/>
  <c r="AZ27" i="27"/>
  <c r="AQ27" i="27"/>
  <c r="BB27" i="27" s="1"/>
  <c r="AS27" i="27"/>
  <c r="AT27" i="27"/>
  <c r="AW27" i="27"/>
  <c r="AY27" i="27"/>
  <c r="AK27" i="27"/>
  <c r="CA27" i="27"/>
  <c r="CS27" i="27"/>
  <c r="CT27" i="27"/>
  <c r="CP27" i="27"/>
  <c r="CH27" i="27"/>
  <c r="BJ27" i="27"/>
  <c r="CR27" i="27"/>
  <c r="A27" i="27"/>
  <c r="CQ27" i="27"/>
  <c r="CO26" i="27"/>
  <c r="BV26" i="27"/>
  <c r="AO26" i="27"/>
  <c r="CL27" i="27"/>
  <c r="AL27" i="27"/>
  <c r="D29" i="27"/>
  <c r="BN29" i="27" s="1"/>
  <c r="B28" i="27"/>
  <c r="BE28" i="27" s="1"/>
  <c r="H28" i="27"/>
  <c r="CF28" i="27"/>
  <c r="BZ28" i="27"/>
  <c r="BC28" i="27"/>
  <c r="BH28" i="27" s="1"/>
  <c r="C28" i="27"/>
  <c r="J28" i="27" s="1"/>
  <c r="BA28" i="27"/>
  <c r="CC28" i="27"/>
  <c r="BD28" i="27"/>
  <c r="CE28" i="27"/>
  <c r="CG28" i="27"/>
  <c r="CD28" i="27"/>
  <c r="BQ28" i="27"/>
  <c r="BK28" i="27"/>
  <c r="AP28" i="27"/>
  <c r="CI28" i="27"/>
  <c r="I28" i="27"/>
  <c r="CJ28" i="27"/>
  <c r="G28" i="27"/>
  <c r="CB28" i="27"/>
  <c r="CK28" i="27"/>
  <c r="CN28" i="27"/>
  <c r="K27" i="27"/>
  <c r="L27" i="27" s="1"/>
  <c r="AN26" i="27"/>
  <c r="CM28" i="27" l="1"/>
  <c r="BL28" i="27"/>
  <c r="BM28" i="27" s="1"/>
  <c r="BI28" i="27"/>
  <c r="AS28" i="27"/>
  <c r="AT28" i="27"/>
  <c r="AV28" i="27"/>
  <c r="AX28" i="27"/>
  <c r="AU28" i="27"/>
  <c r="AW28" i="27"/>
  <c r="AY28" i="27"/>
  <c r="AZ28" i="27"/>
  <c r="AQ28" i="27"/>
  <c r="BB28" i="27" s="1"/>
  <c r="AR28" i="27"/>
  <c r="AK28" i="27"/>
  <c r="CA28" i="27"/>
  <c r="AL28" i="27"/>
  <c r="CS28" i="27"/>
  <c r="CP28" i="27"/>
  <c r="CH28" i="27"/>
  <c r="BJ28" i="27"/>
  <c r="A28" i="27"/>
  <c r="CT28" i="27"/>
  <c r="CR28" i="27"/>
  <c r="CQ28" i="27"/>
  <c r="AN27" i="27"/>
  <c r="CL28" i="27"/>
  <c r="BY28" i="27"/>
  <c r="E28" i="27"/>
  <c r="AM28" i="27" s="1"/>
  <c r="D30" i="27"/>
  <c r="BN30" i="27" s="1"/>
  <c r="B29" i="27"/>
  <c r="BE29" i="27" s="1"/>
  <c r="BQ29" i="27"/>
  <c r="CN29" i="27"/>
  <c r="CJ29" i="27"/>
  <c r="CG29" i="27"/>
  <c r="BD29" i="27"/>
  <c r="CF29" i="27"/>
  <c r="AP29" i="27"/>
  <c r="CE29" i="27"/>
  <c r="I29" i="27"/>
  <c r="CD29" i="27"/>
  <c r="H29" i="27"/>
  <c r="CB29" i="27"/>
  <c r="CK29" i="27"/>
  <c r="BC29" i="27"/>
  <c r="BH29" i="27" s="1"/>
  <c r="BA29" i="27"/>
  <c r="CC29" i="27"/>
  <c r="C29" i="27"/>
  <c r="J29" i="27" s="1"/>
  <c r="BK29" i="27"/>
  <c r="BZ29" i="27"/>
  <c r="CI29" i="27"/>
  <c r="G29" i="27"/>
  <c r="K28" i="27"/>
  <c r="L28" i="27" s="1"/>
  <c r="CO27" i="27"/>
  <c r="BV27" i="27"/>
  <c r="AO27" i="27"/>
  <c r="AK29" i="27" l="1"/>
  <c r="CM29" i="27"/>
  <c r="BI29" i="27"/>
  <c r="BL29" i="27"/>
  <c r="BM29" i="27" s="1"/>
  <c r="AQ29" i="27"/>
  <c r="BB29" i="27" s="1"/>
  <c r="AY29" i="27"/>
  <c r="AR29" i="27"/>
  <c r="AZ29" i="27"/>
  <c r="AT29" i="27"/>
  <c r="AV29" i="27"/>
  <c r="AS29" i="27"/>
  <c r="AU29" i="27"/>
  <c r="AW29" i="27"/>
  <c r="AX29" i="27"/>
  <c r="CA29" i="27"/>
  <c r="AL29" i="27"/>
  <c r="BY29" i="27"/>
  <c r="AO28" i="27"/>
  <c r="BV28" i="27"/>
  <c r="CO28" i="27"/>
  <c r="AN28" i="27"/>
  <c r="CS29" i="27"/>
  <c r="CR29" i="27"/>
  <c r="CH29" i="27"/>
  <c r="CT29" i="27"/>
  <c r="BJ29" i="27"/>
  <c r="A29" i="27"/>
  <c r="CQ29" i="27"/>
  <c r="CP29" i="27"/>
  <c r="CL29" i="27"/>
  <c r="D31" i="27"/>
  <c r="BN31" i="27" s="1"/>
  <c r="B30" i="27"/>
  <c r="BE30" i="27" s="1"/>
  <c r="BZ30" i="27"/>
  <c r="C30" i="27"/>
  <c r="J30" i="27" s="1"/>
  <c r="BQ30" i="27"/>
  <c r="CN30" i="27"/>
  <c r="CJ30" i="27"/>
  <c r="BK30" i="27"/>
  <c r="CF30" i="27"/>
  <c r="BD30" i="27"/>
  <c r="CD30" i="27"/>
  <c r="AP30" i="27"/>
  <c r="CB30" i="27"/>
  <c r="I30" i="27"/>
  <c r="G30" i="27"/>
  <c r="BC30" i="27"/>
  <c r="BH30" i="27" s="1"/>
  <c r="BA30" i="27"/>
  <c r="H30" i="27"/>
  <c r="CG30" i="27"/>
  <c r="CE30" i="27"/>
  <c r="CI30" i="27"/>
  <c r="CK30" i="27"/>
  <c r="CC30" i="27"/>
  <c r="K29" i="27"/>
  <c r="L29" i="27" s="1"/>
  <c r="E29" i="27"/>
  <c r="AM29" i="27" s="1"/>
  <c r="AW30" i="27" l="1"/>
  <c r="AX30" i="27"/>
  <c r="AR30" i="27"/>
  <c r="AZ30" i="27"/>
  <c r="AT30" i="27"/>
  <c r="AQ30" i="27"/>
  <c r="BB30" i="27" s="1"/>
  <c r="AS30" i="27"/>
  <c r="AU30" i="27"/>
  <c r="AV30" i="27"/>
  <c r="AY30" i="27"/>
  <c r="CM30" i="27"/>
  <c r="BL30" i="27"/>
  <c r="BM30" i="27" s="1"/>
  <c r="BI30" i="27"/>
  <c r="AK30" i="27"/>
  <c r="CA30" i="27"/>
  <c r="CL30" i="27"/>
  <c r="E30" i="27"/>
  <c r="AM30" i="27" s="1"/>
  <c r="BV29" i="27"/>
  <c r="CO29" i="27"/>
  <c r="AO29" i="27"/>
  <c r="D32" i="27"/>
  <c r="BN32" i="27" s="1"/>
  <c r="B31" i="27"/>
  <c r="BE31" i="27" s="1"/>
  <c r="CI31" i="27"/>
  <c r="CJ31" i="27"/>
  <c r="CG31" i="27"/>
  <c r="CE31" i="27"/>
  <c r="CB31" i="27"/>
  <c r="BQ31" i="27"/>
  <c r="BC31" i="27"/>
  <c r="BH31" i="27" s="1"/>
  <c r="CK31" i="27"/>
  <c r="I31" i="27"/>
  <c r="BA31" i="27"/>
  <c r="CD31" i="27"/>
  <c r="CF31" i="27"/>
  <c r="BD31" i="27"/>
  <c r="H31" i="27"/>
  <c r="BK31" i="27"/>
  <c r="CC31" i="27"/>
  <c r="G31" i="27"/>
  <c r="BZ31" i="27"/>
  <c r="CN31" i="27"/>
  <c r="AP31" i="27"/>
  <c r="C31" i="27"/>
  <c r="J31" i="27" s="1"/>
  <c r="AN29" i="27"/>
  <c r="BY30" i="27"/>
  <c r="AL30" i="27"/>
  <c r="CS30" i="27"/>
  <c r="A30" i="27"/>
  <c r="CH30" i="27"/>
  <c r="CR30" i="27"/>
  <c r="CP30" i="27"/>
  <c r="CT30" i="27"/>
  <c r="BJ30" i="27"/>
  <c r="CQ30" i="27"/>
  <c r="K30" i="27"/>
  <c r="L30" i="27" s="1"/>
  <c r="AK31" i="27" l="1"/>
  <c r="AU31" i="27"/>
  <c r="AV31" i="27"/>
  <c r="AX31" i="27"/>
  <c r="AR31" i="27"/>
  <c r="AZ31" i="27"/>
  <c r="AW31" i="27"/>
  <c r="AY31" i="27"/>
  <c r="AQ31" i="27"/>
  <c r="BB31" i="27" s="1"/>
  <c r="AS31" i="27"/>
  <c r="AT31" i="27"/>
  <c r="CM31" i="27"/>
  <c r="BI31" i="27"/>
  <c r="BL31" i="27"/>
  <c r="BM31" i="27" s="1"/>
  <c r="CA31" i="27"/>
  <c r="K31" i="27"/>
  <c r="L31" i="27" s="1"/>
  <c r="E31" i="27"/>
  <c r="AM31" i="27" s="1"/>
  <c r="D33" i="27"/>
  <c r="BN33" i="27" s="1"/>
  <c r="B32" i="27"/>
  <c r="BE32" i="27" s="1"/>
  <c r="CJ32" i="27"/>
  <c r="BD32" i="27"/>
  <c r="CG32" i="27"/>
  <c r="BC32" i="27"/>
  <c r="BH32" i="27" s="1"/>
  <c r="CF32" i="27"/>
  <c r="AP32" i="27"/>
  <c r="CD32" i="27"/>
  <c r="H32" i="27"/>
  <c r="CC32" i="27"/>
  <c r="G32" i="27"/>
  <c r="CB32" i="27"/>
  <c r="CI32" i="27"/>
  <c r="CN32" i="27"/>
  <c r="BZ32" i="27"/>
  <c r="C32" i="27"/>
  <c r="J32" i="27" s="1"/>
  <c r="CK32" i="27"/>
  <c r="BQ32" i="27"/>
  <c r="CE32" i="27"/>
  <c r="BA32" i="27"/>
  <c r="BK32" i="27"/>
  <c r="I32" i="27"/>
  <c r="BV30" i="27"/>
  <c r="AO30" i="27"/>
  <c r="CO30" i="27"/>
  <c r="AL31" i="27"/>
  <c r="AN30" i="27"/>
  <c r="BY31" i="27"/>
  <c r="CS31" i="27"/>
  <c r="CR31" i="27"/>
  <c r="A31" i="27"/>
  <c r="CT31" i="27"/>
  <c r="CQ31" i="27"/>
  <c r="CP31" i="27"/>
  <c r="CH31" i="27"/>
  <c r="BJ31" i="27"/>
  <c r="CL31" i="27"/>
  <c r="CM32" i="27" l="1"/>
  <c r="BI32" i="27"/>
  <c r="BL32" i="27"/>
  <c r="BM32" i="27" s="1"/>
  <c r="AS32" i="27"/>
  <c r="AT32" i="27"/>
  <c r="AV32" i="27"/>
  <c r="AX32" i="27"/>
  <c r="AQ32" i="27"/>
  <c r="BB32" i="27" s="1"/>
  <c r="AR32" i="27"/>
  <c r="AU32" i="27"/>
  <c r="AW32" i="27"/>
  <c r="AY32" i="27"/>
  <c r="AZ32" i="27"/>
  <c r="AK32" i="27"/>
  <c r="CA32" i="27"/>
  <c r="E32" i="27"/>
  <c r="AM32" i="27" s="1"/>
  <c r="AL32" i="27"/>
  <c r="BY32" i="27"/>
  <c r="AN31" i="27"/>
  <c r="BV31" i="27"/>
  <c r="CO31" i="27"/>
  <c r="AO31" i="27"/>
  <c r="K32" i="27"/>
  <c r="L32" i="27" s="1"/>
  <c r="CS32" i="27"/>
  <c r="A32" i="27"/>
  <c r="CR32" i="27"/>
  <c r="CH32" i="27"/>
  <c r="CP32" i="27"/>
  <c r="CQ32" i="27"/>
  <c r="BJ32" i="27"/>
  <c r="CT32" i="27"/>
  <c r="CL32" i="27"/>
  <c r="D34" i="27"/>
  <c r="BN34" i="27" s="1"/>
  <c r="B33" i="27"/>
  <c r="BE33" i="27" s="1"/>
  <c r="BD33" i="27"/>
  <c r="I33" i="27"/>
  <c r="G33" i="27"/>
  <c r="CI33" i="27"/>
  <c r="CK33" i="27"/>
  <c r="CE33" i="27"/>
  <c r="C33" i="27"/>
  <c r="J33" i="27" s="1"/>
  <c r="CC33" i="27"/>
  <c r="BQ33" i="27"/>
  <c r="CB33" i="27"/>
  <c r="BZ33" i="27"/>
  <c r="H33" i="27"/>
  <c r="CN33" i="27"/>
  <c r="BA33" i="27"/>
  <c r="CF33" i="27"/>
  <c r="AP33" i="27"/>
  <c r="CG33" i="27"/>
  <c r="BK33" i="27"/>
  <c r="BC33" i="27"/>
  <c r="BH33" i="27" s="1"/>
  <c r="CJ33" i="27"/>
  <c r="CD33" i="27"/>
  <c r="CM33" i="27" l="1"/>
  <c r="BI33" i="27"/>
  <c r="BL33" i="27"/>
  <c r="BM33" i="27" s="1"/>
  <c r="AK33" i="27"/>
  <c r="AQ33" i="27"/>
  <c r="BB33" i="27" s="1"/>
  <c r="AY33" i="27"/>
  <c r="AR33" i="27"/>
  <c r="AZ33" i="27"/>
  <c r="AT33" i="27"/>
  <c r="AV33" i="27"/>
  <c r="AS33" i="27"/>
  <c r="AU33" i="27"/>
  <c r="AW33" i="27"/>
  <c r="AX33" i="27"/>
  <c r="K33" i="27"/>
  <c r="L33" i="27" s="1"/>
  <c r="CA33" i="27"/>
  <c r="CS33" i="27"/>
  <c r="CP33" i="27"/>
  <c r="CT33" i="27"/>
  <c r="CH33" i="27"/>
  <c r="CQ33" i="27"/>
  <c r="CR33" i="27"/>
  <c r="A33" i="27"/>
  <c r="BJ33" i="27"/>
  <c r="CL33" i="27"/>
  <c r="E33" i="27"/>
  <c r="AM33" i="27" s="1"/>
  <c r="D35" i="27"/>
  <c r="BN35" i="27" s="1"/>
  <c r="B34" i="27"/>
  <c r="BE34" i="27" s="1"/>
  <c r="AP34" i="27"/>
  <c r="CJ34" i="27"/>
  <c r="H34" i="27"/>
  <c r="CF34" i="27"/>
  <c r="C34" i="27"/>
  <c r="J34" i="27" s="1"/>
  <c r="CB34" i="27"/>
  <c r="BZ34" i="27"/>
  <c r="BA34" i="27"/>
  <c r="BQ34" i="27"/>
  <c r="CE34" i="27"/>
  <c r="BD34" i="27"/>
  <c r="BK34" i="27"/>
  <c r="CI34" i="27"/>
  <c r="CK34" i="27"/>
  <c r="CD34" i="27"/>
  <c r="CC34" i="27"/>
  <c r="CN34" i="27"/>
  <c r="BC34" i="27"/>
  <c r="BH34" i="27" s="1"/>
  <c r="G34" i="27"/>
  <c r="CG34" i="27"/>
  <c r="I34" i="27"/>
  <c r="AL33" i="27"/>
  <c r="BY33" i="27"/>
  <c r="AN32" i="27"/>
  <c r="CO32" i="27"/>
  <c r="AO32" i="27"/>
  <c r="BV32" i="27"/>
  <c r="K34" i="27" l="1"/>
  <c r="L34" i="27" s="1"/>
  <c r="AW34" i="27"/>
  <c r="AX34" i="27"/>
  <c r="AR34" i="27"/>
  <c r="AZ34" i="27"/>
  <c r="AT34" i="27"/>
  <c r="AY34" i="27"/>
  <c r="AQ34" i="27"/>
  <c r="BB34" i="27" s="1"/>
  <c r="AS34" i="27"/>
  <c r="AU34" i="27"/>
  <c r="AV34" i="27"/>
  <c r="AK34" i="27"/>
  <c r="BL34" i="27"/>
  <c r="BM34" i="27" s="1"/>
  <c r="BI34" i="27"/>
  <c r="CA34" i="27"/>
  <c r="CM34" i="27"/>
  <c r="CS34" i="27"/>
  <c r="A34" i="27"/>
  <c r="CT34" i="27"/>
  <c r="CH34" i="27"/>
  <c r="BJ34" i="27"/>
  <c r="CP34" i="27"/>
  <c r="CR34" i="27"/>
  <c r="CQ34" i="27"/>
  <c r="CL34" i="27"/>
  <c r="D36" i="27"/>
  <c r="BN36" i="27" s="1"/>
  <c r="B35" i="27"/>
  <c r="BE35" i="27" s="1"/>
  <c r="CC35" i="27"/>
  <c r="CB35" i="27"/>
  <c r="CN35" i="27"/>
  <c r="BQ35" i="27"/>
  <c r="CK35" i="27"/>
  <c r="CJ35" i="27"/>
  <c r="BC35" i="27"/>
  <c r="BH35" i="27" s="1"/>
  <c r="CG35" i="27"/>
  <c r="AP35" i="27"/>
  <c r="CF35" i="27"/>
  <c r="I35" i="27"/>
  <c r="CE35" i="27"/>
  <c r="G35" i="27"/>
  <c r="CD35" i="27"/>
  <c r="BA35" i="27"/>
  <c r="C35" i="27"/>
  <c r="J35" i="27" s="1"/>
  <c r="BK35" i="27"/>
  <c r="BZ35" i="27"/>
  <c r="CI35" i="27"/>
  <c r="H35" i="27"/>
  <c r="BD35" i="27"/>
  <c r="AN33" i="27"/>
  <c r="BY34" i="27"/>
  <c r="AL34" i="27"/>
  <c r="E34" i="27"/>
  <c r="AM34" i="27" s="1"/>
  <c r="BV33" i="27"/>
  <c r="CO33" i="27"/>
  <c r="AO33" i="27"/>
  <c r="CM35" i="27" l="1"/>
  <c r="BL35" i="27"/>
  <c r="BM35" i="27" s="1"/>
  <c r="BI35" i="27"/>
  <c r="AU35" i="27"/>
  <c r="AV35" i="27"/>
  <c r="AX35" i="27"/>
  <c r="AR35" i="27"/>
  <c r="AZ35" i="27"/>
  <c r="AQ35" i="27"/>
  <c r="BB35" i="27" s="1"/>
  <c r="AS35" i="27"/>
  <c r="AT35" i="27"/>
  <c r="AW35" i="27"/>
  <c r="AY35" i="27"/>
  <c r="AK35" i="27"/>
  <c r="CA35" i="27"/>
  <c r="K35" i="27"/>
  <c r="L35" i="27" s="1"/>
  <c r="CS35" i="27"/>
  <c r="A35" i="27"/>
  <c r="CR35" i="27"/>
  <c r="CT35" i="27"/>
  <c r="CQ35" i="27"/>
  <c r="CP35" i="27"/>
  <c r="CH35" i="27"/>
  <c r="BJ35" i="27"/>
  <c r="E35" i="27"/>
  <c r="AM35" i="27" s="1"/>
  <c r="CL35" i="27"/>
  <c r="D37" i="27"/>
  <c r="BN37" i="27" s="1"/>
  <c r="B36" i="27"/>
  <c r="BE36" i="27" s="1"/>
  <c r="CB36" i="27"/>
  <c r="C36" i="27"/>
  <c r="AK36" i="27" s="1"/>
  <c r="CN36" i="27"/>
  <c r="BZ36" i="27"/>
  <c r="CK36" i="27"/>
  <c r="CJ36" i="27"/>
  <c r="BD36" i="27"/>
  <c r="CG36" i="27"/>
  <c r="BC36" i="27"/>
  <c r="BH36" i="27" s="1"/>
  <c r="CF36" i="27"/>
  <c r="AP36" i="27"/>
  <c r="CD36" i="27"/>
  <c r="H36" i="27"/>
  <c r="CC36" i="27"/>
  <c r="G36" i="27"/>
  <c r="CI36" i="27"/>
  <c r="I36" i="27"/>
  <c r="BQ36" i="27"/>
  <c r="CE36" i="27"/>
  <c r="BA36" i="27"/>
  <c r="BK36" i="27"/>
  <c r="AN34" i="27"/>
  <c r="CO34" i="27"/>
  <c r="AO34" i="27"/>
  <c r="BV34" i="27"/>
  <c r="AL35" i="27"/>
  <c r="BY35" i="27"/>
  <c r="BY36" i="27" l="1"/>
  <c r="J36" i="27"/>
  <c r="E36" i="27" s="1"/>
  <c r="AM36" i="27" s="1"/>
  <c r="CM36" i="27"/>
  <c r="BL36" i="27"/>
  <c r="BM36" i="27" s="1"/>
  <c r="BI36" i="27"/>
  <c r="AS36" i="27"/>
  <c r="AT36" i="27"/>
  <c r="AV36" i="27"/>
  <c r="AX36" i="27"/>
  <c r="AU36" i="27"/>
  <c r="AW36" i="27"/>
  <c r="AY36" i="27"/>
  <c r="AZ36" i="27"/>
  <c r="AQ36" i="27"/>
  <c r="BB36" i="27" s="1"/>
  <c r="AR36" i="27"/>
  <c r="K36" i="27"/>
  <c r="L36" i="27" s="1"/>
  <c r="CA36" i="27"/>
  <c r="CL36" i="27"/>
  <c r="D38" i="27"/>
  <c r="BN38" i="27" s="1"/>
  <c r="B37" i="27"/>
  <c r="BE37" i="27" s="1"/>
  <c r="BQ37" i="27"/>
  <c r="BK37" i="27"/>
  <c r="BA37" i="27"/>
  <c r="CI37" i="27"/>
  <c r="H37" i="27"/>
  <c r="CG37" i="27"/>
  <c r="CE37" i="27"/>
  <c r="C37" i="27"/>
  <c r="J37" i="27" s="1"/>
  <c r="CJ37" i="27"/>
  <c r="CN37" i="27"/>
  <c r="CB37" i="27"/>
  <c r="I37" i="27"/>
  <c r="CF37" i="27"/>
  <c r="AP37" i="27"/>
  <c r="CD37" i="27"/>
  <c r="CK37" i="27"/>
  <c r="CC37" i="27"/>
  <c r="BD37" i="27"/>
  <c r="BC37" i="27"/>
  <c r="BH37" i="27" s="1"/>
  <c r="BZ37" i="27"/>
  <c r="G37" i="27"/>
  <c r="AN35" i="27"/>
  <c r="AL36" i="27"/>
  <c r="AO35" i="27"/>
  <c r="BV35" i="27"/>
  <c r="CO35" i="27"/>
  <c r="CS36" i="27"/>
  <c r="CP36" i="27"/>
  <c r="BJ36" i="27"/>
  <c r="CQ36" i="27"/>
  <c r="A36" i="27"/>
  <c r="CH36" i="27"/>
  <c r="CT36" i="27"/>
  <c r="CR36" i="27"/>
  <c r="AK37" i="27" l="1"/>
  <c r="CM37" i="27"/>
  <c r="BI37" i="27"/>
  <c r="BL37" i="27"/>
  <c r="BM37" i="27" s="1"/>
  <c r="AQ37" i="27"/>
  <c r="BB37" i="27" s="1"/>
  <c r="AY37" i="27"/>
  <c r="AR37" i="27"/>
  <c r="AZ37" i="27"/>
  <c r="AT37" i="27"/>
  <c r="AV37" i="27"/>
  <c r="AS37" i="27"/>
  <c r="AU37" i="27"/>
  <c r="AW37" i="27"/>
  <c r="AX37" i="27"/>
  <c r="CA37" i="27"/>
  <c r="E37" i="27"/>
  <c r="AM37" i="27" s="1"/>
  <c r="BY37" i="27"/>
  <c r="AL37" i="27"/>
  <c r="CS37" i="27"/>
  <c r="CH37" i="27"/>
  <c r="CT37" i="27"/>
  <c r="BJ37" i="27"/>
  <c r="CP37" i="27"/>
  <c r="CQ37" i="27"/>
  <c r="A37" i="27"/>
  <c r="CR37" i="27"/>
  <c r="BV36" i="27"/>
  <c r="CO36" i="27"/>
  <c r="AO36" i="27"/>
  <c r="AN36" i="27"/>
  <c r="K37" i="27"/>
  <c r="L37" i="27" s="1"/>
  <c r="CL37" i="27"/>
  <c r="D39" i="27"/>
  <c r="BN39" i="27" s="1"/>
  <c r="B38" i="27"/>
  <c r="BE38" i="27" s="1"/>
  <c r="BA38" i="27"/>
  <c r="I38" i="27"/>
  <c r="CI38" i="27"/>
  <c r="C38" i="27"/>
  <c r="CJ38" i="27"/>
  <c r="CB38" i="27"/>
  <c r="CE38" i="27"/>
  <c r="CF38" i="27"/>
  <c r="BQ38" i="27"/>
  <c r="CG38" i="27"/>
  <c r="CC38" i="27"/>
  <c r="BC38" i="27"/>
  <c r="BH38" i="27" s="1"/>
  <c r="G38" i="27"/>
  <c r="CN38" i="27"/>
  <c r="CD38" i="27"/>
  <c r="AP38" i="27"/>
  <c r="BZ38" i="27"/>
  <c r="BD38" i="27"/>
  <c r="H38" i="27"/>
  <c r="BK38" i="27"/>
  <c r="CK38" i="27"/>
  <c r="BY38" i="27" l="1"/>
  <c r="J38" i="27"/>
  <c r="E38" i="27" s="1"/>
  <c r="AM38" i="27" s="1"/>
  <c r="AW38" i="27"/>
  <c r="AX38" i="27"/>
  <c r="AR38" i="27"/>
  <c r="AZ38" i="27"/>
  <c r="AT38" i="27"/>
  <c r="AQ38" i="27"/>
  <c r="BB38" i="27" s="1"/>
  <c r="AS38" i="27"/>
  <c r="AU38" i="27"/>
  <c r="AV38" i="27"/>
  <c r="AY38" i="27"/>
  <c r="AK38" i="27"/>
  <c r="CM38" i="27"/>
  <c r="BL38" i="27"/>
  <c r="BM38" i="27" s="1"/>
  <c r="BI38" i="27"/>
  <c r="CA38" i="27"/>
  <c r="AL38" i="27"/>
  <c r="CL38" i="27"/>
  <c r="K38" i="27"/>
  <c r="L38" i="27" s="1"/>
  <c r="CS38" i="27"/>
  <c r="CP38" i="27"/>
  <c r="CT38" i="27"/>
  <c r="A38" i="27"/>
  <c r="CH38" i="27"/>
  <c r="CR38" i="27"/>
  <c r="CQ38" i="27"/>
  <c r="BJ38" i="27"/>
  <c r="D40" i="27"/>
  <c r="BN40" i="27" s="1"/>
  <c r="B39" i="27"/>
  <c r="BE39" i="27" s="1"/>
  <c r="CC39" i="27"/>
  <c r="CJ39" i="27"/>
  <c r="BQ39" i="27"/>
  <c r="CK39" i="27"/>
  <c r="BK39" i="27"/>
  <c r="CG39" i="27"/>
  <c r="BA39" i="27"/>
  <c r="CF39" i="27"/>
  <c r="I39" i="27"/>
  <c r="CD39" i="27"/>
  <c r="G39" i="27"/>
  <c r="CI39" i="27"/>
  <c r="CB39" i="27"/>
  <c r="BZ39" i="27"/>
  <c r="BD39" i="27"/>
  <c r="BC39" i="27"/>
  <c r="BH39" i="27" s="1"/>
  <c r="C39" i="27"/>
  <c r="J39" i="27" s="1"/>
  <c r="H39" i="27"/>
  <c r="CE39" i="27"/>
  <c r="AP39" i="27"/>
  <c r="CN39" i="27"/>
  <c r="CO37" i="27"/>
  <c r="BV37" i="27"/>
  <c r="AO37" i="27"/>
  <c r="AN37" i="27"/>
  <c r="AU39" i="27" l="1"/>
  <c r="AV39" i="27"/>
  <c r="AX39" i="27"/>
  <c r="AR39" i="27"/>
  <c r="AZ39" i="27"/>
  <c r="AW39" i="27"/>
  <c r="AY39" i="27"/>
  <c r="AQ39" i="27"/>
  <c r="BB39" i="27" s="1"/>
  <c r="AS39" i="27"/>
  <c r="AT39" i="27"/>
  <c r="CM39" i="27"/>
  <c r="BI39" i="27"/>
  <c r="BL39" i="27"/>
  <c r="BM39" i="27" s="1"/>
  <c r="AK39" i="27"/>
  <c r="CA39" i="27"/>
  <c r="K39" i="27"/>
  <c r="L39" i="27" s="1"/>
  <c r="BY39" i="27"/>
  <c r="AL39" i="27"/>
  <c r="CS39" i="27"/>
  <c r="CH39" i="27"/>
  <c r="BJ39" i="27"/>
  <c r="CT39" i="27"/>
  <c r="A39" i="27"/>
  <c r="CR39" i="27"/>
  <c r="CP39" i="27"/>
  <c r="CQ39" i="27"/>
  <c r="CO38" i="27"/>
  <c r="BV38" i="27"/>
  <c r="AO38" i="27"/>
  <c r="AN38" i="27"/>
  <c r="CL39" i="27"/>
  <c r="D41" i="27"/>
  <c r="BN41" i="27" s="1"/>
  <c r="B40" i="27"/>
  <c r="BE40" i="27" s="1"/>
  <c r="CC40" i="27"/>
  <c r="G40" i="27"/>
  <c r="CB40" i="27"/>
  <c r="CI40" i="27"/>
  <c r="CN40" i="27"/>
  <c r="BZ40" i="27"/>
  <c r="C40" i="27"/>
  <c r="J40" i="27" s="1"/>
  <c r="CK40" i="27"/>
  <c r="CJ40" i="27"/>
  <c r="BD40" i="27"/>
  <c r="CG40" i="27"/>
  <c r="BC40" i="27"/>
  <c r="BH40" i="27" s="1"/>
  <c r="CF40" i="27"/>
  <c r="AP40" i="27"/>
  <c r="CD40" i="27"/>
  <c r="H40" i="27"/>
  <c r="I40" i="27"/>
  <c r="BQ40" i="27"/>
  <c r="CE40" i="27"/>
  <c r="BA40" i="27"/>
  <c r="BK40" i="27"/>
  <c r="E39" i="27"/>
  <c r="AM39" i="27" s="1"/>
  <c r="CM40" i="27" l="1"/>
  <c r="BI40" i="27"/>
  <c r="BL40" i="27"/>
  <c r="BM40" i="27" s="1"/>
  <c r="AK40" i="27"/>
  <c r="AS40" i="27"/>
  <c r="AT40" i="27"/>
  <c r="AV40" i="27"/>
  <c r="AX40" i="27"/>
  <c r="AQ40" i="27"/>
  <c r="BB40" i="27" s="1"/>
  <c r="AR40" i="27"/>
  <c r="AU40" i="27"/>
  <c r="AW40" i="27"/>
  <c r="AY40" i="27"/>
  <c r="AZ40" i="27"/>
  <c r="CA40" i="27"/>
  <c r="AL40" i="27"/>
  <c r="BY40" i="27"/>
  <c r="CS40" i="27"/>
  <c r="BJ40" i="27"/>
  <c r="CH40" i="27"/>
  <c r="CP40" i="27"/>
  <c r="CT40" i="27"/>
  <c r="CR40" i="27"/>
  <c r="CQ40" i="27"/>
  <c r="A40" i="27"/>
  <c r="AO39" i="27"/>
  <c r="CO39" i="27"/>
  <c r="BV39" i="27"/>
  <c r="CL40" i="27"/>
  <c r="K40" i="27"/>
  <c r="L40" i="27" s="1"/>
  <c r="D42" i="27"/>
  <c r="BN42" i="27" s="1"/>
  <c r="B41" i="27"/>
  <c r="BE41" i="27" s="1"/>
  <c r="CF41" i="27"/>
  <c r="CE41" i="27"/>
  <c r="BD41" i="27"/>
  <c r="AP41" i="27"/>
  <c r="BK41" i="27"/>
  <c r="G41" i="27"/>
  <c r="CK41" i="27"/>
  <c r="CD41" i="27"/>
  <c r="BC41" i="27"/>
  <c r="BH41" i="27" s="1"/>
  <c r="BQ41" i="27"/>
  <c r="I41" i="27"/>
  <c r="CJ41" i="27"/>
  <c r="BA41" i="27"/>
  <c r="CC41" i="27"/>
  <c r="CB41" i="27"/>
  <c r="C41" i="27"/>
  <c r="J41" i="27" s="1"/>
  <c r="BZ41" i="27"/>
  <c r="CG41" i="27"/>
  <c r="CI41" i="27"/>
  <c r="H41" i="27"/>
  <c r="CN41" i="27"/>
  <c r="E40" i="27"/>
  <c r="AM40" i="27" s="1"/>
  <c r="AN39" i="27"/>
  <c r="AQ41" i="27" l="1"/>
  <c r="BB41" i="27" s="1"/>
  <c r="AY41" i="27"/>
  <c r="AR41" i="27"/>
  <c r="AZ41" i="27"/>
  <c r="AT41" i="27"/>
  <c r="AV41" i="27"/>
  <c r="AS41" i="27"/>
  <c r="AU41" i="27"/>
  <c r="AW41" i="27"/>
  <c r="AX41" i="27"/>
  <c r="AK41" i="27"/>
  <c r="CM41" i="27"/>
  <c r="BI41" i="27"/>
  <c r="BL41" i="27"/>
  <c r="BM41" i="27" s="1"/>
  <c r="CA41" i="27"/>
  <c r="E41" i="27"/>
  <c r="AM41" i="27" s="1"/>
  <c r="D43" i="27"/>
  <c r="BN43" i="27" s="1"/>
  <c r="B42" i="27"/>
  <c r="BE42" i="27" s="1"/>
  <c r="CD42" i="27"/>
  <c r="I42" i="27"/>
  <c r="CF42" i="27"/>
  <c r="BQ42" i="27"/>
  <c r="CE42" i="27"/>
  <c r="AP42" i="27"/>
  <c r="BK42" i="27"/>
  <c r="CJ42" i="27"/>
  <c r="BD42" i="27"/>
  <c r="CI42" i="27"/>
  <c r="BA42" i="27"/>
  <c r="G42" i="27"/>
  <c r="BZ42" i="27"/>
  <c r="C42" i="27"/>
  <c r="AK42" i="27" s="1"/>
  <c r="H42" i="27"/>
  <c r="CG42" i="27"/>
  <c r="CK42" i="27"/>
  <c r="CB42" i="27"/>
  <c r="CC42" i="27"/>
  <c r="CN42" i="27"/>
  <c r="BC42" i="27"/>
  <c r="BH42" i="27" s="1"/>
  <c r="K41" i="27"/>
  <c r="L41" i="27" s="1"/>
  <c r="AL41" i="27"/>
  <c r="AN40" i="27"/>
  <c r="BY41" i="27"/>
  <c r="CS41" i="27"/>
  <c r="A41" i="27"/>
  <c r="CT41" i="27"/>
  <c r="CH41" i="27"/>
  <c r="CQ41" i="27"/>
  <c r="BJ41" i="27"/>
  <c r="CR41" i="27"/>
  <c r="CP41" i="27"/>
  <c r="CL41" i="27"/>
  <c r="CO40" i="27"/>
  <c r="BV40" i="27"/>
  <c r="AO40" i="27"/>
  <c r="AW42" i="27" l="1"/>
  <c r="AX42" i="27"/>
  <c r="AR42" i="27"/>
  <c r="AZ42" i="27"/>
  <c r="AT42" i="27"/>
  <c r="AY42" i="27"/>
  <c r="AQ42" i="27"/>
  <c r="BB42" i="27" s="1"/>
  <c r="AS42" i="27"/>
  <c r="AU42" i="27"/>
  <c r="AV42" i="27"/>
  <c r="BL42" i="27"/>
  <c r="BM42" i="27" s="1"/>
  <c r="BI42" i="27"/>
  <c r="AL42" i="27"/>
  <c r="J42" i="27"/>
  <c r="E42" i="27" s="1"/>
  <c r="AM42" i="27" s="1"/>
  <c r="CA42" i="27"/>
  <c r="CM42" i="27"/>
  <c r="K42" i="27"/>
  <c r="L42" i="27" s="1"/>
  <c r="BY42" i="27"/>
  <c r="CS42" i="27"/>
  <c r="CP42" i="27"/>
  <c r="CQ42" i="27"/>
  <c r="CH42" i="27"/>
  <c r="BJ42" i="27"/>
  <c r="A42" i="27"/>
  <c r="CT42" i="27"/>
  <c r="CR42" i="27"/>
  <c r="AN41" i="27"/>
  <c r="CL42" i="27"/>
  <c r="AO41" i="27"/>
  <c r="CO41" i="27"/>
  <c r="BV41" i="27"/>
  <c r="D44" i="27"/>
  <c r="BN44" i="27" s="1"/>
  <c r="B43" i="27"/>
  <c r="BE43" i="27" s="1"/>
  <c r="CC43" i="27"/>
  <c r="CB43" i="27"/>
  <c r="AP43" i="27"/>
  <c r="CG43" i="27"/>
  <c r="CN43" i="27"/>
  <c r="CK43" i="27"/>
  <c r="BQ43" i="27"/>
  <c r="G43" i="27"/>
  <c r="I43" i="27"/>
  <c r="CE43" i="27"/>
  <c r="CF43" i="27"/>
  <c r="BC43" i="27"/>
  <c r="BH43" i="27" s="1"/>
  <c r="CJ43" i="27"/>
  <c r="CI43" i="27"/>
  <c r="H43" i="27"/>
  <c r="BD43" i="27"/>
  <c r="CD43" i="27"/>
  <c r="C43" i="27"/>
  <c r="J43" i="27" s="1"/>
  <c r="BA43" i="27"/>
  <c r="BZ43" i="27"/>
  <c r="BK43" i="27"/>
  <c r="AK43" i="27" l="1"/>
  <c r="CM43" i="27"/>
  <c r="BL43" i="27"/>
  <c r="BM43" i="27" s="1"/>
  <c r="BI43" i="27"/>
  <c r="AU43" i="27"/>
  <c r="AV43" i="27"/>
  <c r="AX43" i="27"/>
  <c r="AR43" i="27"/>
  <c r="AZ43" i="27"/>
  <c r="AQ43" i="27"/>
  <c r="BB43" i="27" s="1"/>
  <c r="AS43" i="27"/>
  <c r="AT43" i="27"/>
  <c r="AW43" i="27"/>
  <c r="AY43" i="27"/>
  <c r="CA43" i="27"/>
  <c r="CS43" i="27"/>
  <c r="A43" i="27"/>
  <c r="CR43" i="27"/>
  <c r="CQ43" i="27"/>
  <c r="CP43" i="27"/>
  <c r="CH43" i="27"/>
  <c r="BJ43" i="27"/>
  <c r="CT43" i="27"/>
  <c r="CL43" i="27"/>
  <c r="D45" i="27"/>
  <c r="BN45" i="27" s="1"/>
  <c r="B44" i="27"/>
  <c r="BE44" i="27" s="1"/>
  <c r="CK44" i="27"/>
  <c r="CF44" i="27"/>
  <c r="CD44" i="27"/>
  <c r="BC44" i="27"/>
  <c r="BH44" i="27" s="1"/>
  <c r="AP44" i="27"/>
  <c r="C44" i="27"/>
  <c r="J44" i="27" s="1"/>
  <c r="G44" i="27"/>
  <c r="CB44" i="27"/>
  <c r="H44" i="27"/>
  <c r="CN44" i="27"/>
  <c r="CC44" i="27"/>
  <c r="BD44" i="27"/>
  <c r="CG44" i="27"/>
  <c r="CJ44" i="27"/>
  <c r="BZ44" i="27"/>
  <c r="BA44" i="27"/>
  <c r="CE44" i="27"/>
  <c r="BK44" i="27"/>
  <c r="CI44" i="27"/>
  <c r="I44" i="27"/>
  <c r="BQ44" i="27"/>
  <c r="E43" i="27"/>
  <c r="AM43" i="27" s="1"/>
  <c r="AL43" i="27"/>
  <c r="AN42" i="27"/>
  <c r="BY43" i="27"/>
  <c r="K43" i="27"/>
  <c r="L43" i="27" s="1"/>
  <c r="CO42" i="27"/>
  <c r="BV42" i="27"/>
  <c r="AO42" i="27"/>
  <c r="BY44" i="27" l="1"/>
  <c r="AS44" i="27"/>
  <c r="AT44" i="27"/>
  <c r="AV44" i="27"/>
  <c r="AX44" i="27"/>
  <c r="AU44" i="27"/>
  <c r="AW44" i="27"/>
  <c r="AY44" i="27"/>
  <c r="AZ44" i="27"/>
  <c r="AQ44" i="27"/>
  <c r="BB44" i="27" s="1"/>
  <c r="AR44" i="27"/>
  <c r="CM44" i="27"/>
  <c r="BL44" i="27"/>
  <c r="BM44" i="27" s="1"/>
  <c r="BI44" i="27"/>
  <c r="AK44" i="27"/>
  <c r="CA44" i="27"/>
  <c r="CS44" i="27"/>
  <c r="CR44" i="27"/>
  <c r="CQ44" i="27"/>
  <c r="CH44" i="27"/>
  <c r="CT44" i="27"/>
  <c r="A44" i="27"/>
  <c r="BJ44" i="27"/>
  <c r="CP44" i="27"/>
  <c r="K44" i="27"/>
  <c r="L44" i="27" s="1"/>
  <c r="CL44" i="27"/>
  <c r="AL44" i="27"/>
  <c r="E44" i="27"/>
  <c r="AM44" i="27" s="1"/>
  <c r="D46" i="27"/>
  <c r="BN46" i="27" s="1"/>
  <c r="B45" i="27"/>
  <c r="BE45" i="27" s="1"/>
  <c r="H45" i="27"/>
  <c r="CI45" i="27"/>
  <c r="BQ45" i="27"/>
  <c r="CE45" i="27"/>
  <c r="C45" i="27"/>
  <c r="J45" i="27" s="1"/>
  <c r="BC45" i="27"/>
  <c r="BH45" i="27" s="1"/>
  <c r="CG45" i="27"/>
  <c r="BA45" i="27"/>
  <c r="G45" i="27"/>
  <c r="CJ45" i="27"/>
  <c r="CN45" i="27"/>
  <c r="CB45" i="27"/>
  <c r="I45" i="27"/>
  <c r="CF45" i="27"/>
  <c r="BD45" i="27"/>
  <c r="CD45" i="27"/>
  <c r="AP45" i="27"/>
  <c r="BZ45" i="27"/>
  <c r="CK45" i="27"/>
  <c r="CC45" i="27"/>
  <c r="BK45" i="27"/>
  <c r="BV43" i="27"/>
  <c r="AO43" i="27"/>
  <c r="CO43" i="27"/>
  <c r="AN43" i="27"/>
  <c r="AQ45" i="27" l="1"/>
  <c r="BB45" i="27" s="1"/>
  <c r="AY45" i="27"/>
  <c r="AR45" i="27"/>
  <c r="AZ45" i="27"/>
  <c r="AT45" i="27"/>
  <c r="AV45" i="27"/>
  <c r="AS45" i="27"/>
  <c r="AU45" i="27"/>
  <c r="AW45" i="27"/>
  <c r="AX45" i="27"/>
  <c r="CM45" i="27"/>
  <c r="BI45" i="27"/>
  <c r="BL45" i="27"/>
  <c r="BM45" i="27" s="1"/>
  <c r="AK45" i="27"/>
  <c r="CL45" i="27"/>
  <c r="CA45" i="27"/>
  <c r="K45" i="27"/>
  <c r="L45" i="27" s="1"/>
  <c r="E45" i="27"/>
  <c r="AM45" i="27" s="1"/>
  <c r="CO44" i="27"/>
  <c r="AO44" i="27"/>
  <c r="BV44" i="27"/>
  <c r="AN44" i="27"/>
  <c r="D47" i="27"/>
  <c r="BN47" i="27" s="1"/>
  <c r="B46" i="27"/>
  <c r="BE46" i="27" s="1"/>
  <c r="CJ46" i="27"/>
  <c r="CI46" i="27"/>
  <c r="BQ46" i="27"/>
  <c r="BA46" i="27"/>
  <c r="I46" i="27"/>
  <c r="CN46" i="27"/>
  <c r="C46" i="27"/>
  <c r="J46" i="27" s="1"/>
  <c r="CB46" i="27"/>
  <c r="CF46" i="27"/>
  <c r="BK46" i="27"/>
  <c r="CK46" i="27"/>
  <c r="CE46" i="27"/>
  <c r="CC46" i="27"/>
  <c r="CG46" i="27"/>
  <c r="BC46" i="27"/>
  <c r="BH46" i="27" s="1"/>
  <c r="G46" i="27"/>
  <c r="CD46" i="27"/>
  <c r="AP46" i="27"/>
  <c r="BZ46" i="27"/>
  <c r="BD46" i="27"/>
  <c r="H46" i="27"/>
  <c r="AL45" i="27"/>
  <c r="BY45" i="27"/>
  <c r="CS45" i="27"/>
  <c r="A45" i="27"/>
  <c r="BJ45" i="27"/>
  <c r="CT45" i="27"/>
  <c r="CR45" i="27"/>
  <c r="CQ45" i="27"/>
  <c r="CH45" i="27"/>
  <c r="CP45" i="27"/>
  <c r="AK46" i="27" l="1"/>
  <c r="AW46" i="27"/>
  <c r="AX46" i="27"/>
  <c r="AR46" i="27"/>
  <c r="AZ46" i="27"/>
  <c r="AT46" i="27"/>
  <c r="AQ46" i="27"/>
  <c r="BB46" i="27" s="1"/>
  <c r="AS46" i="27"/>
  <c r="AU46" i="27"/>
  <c r="AV46" i="27"/>
  <c r="AY46" i="27"/>
  <c r="CM46" i="27"/>
  <c r="BL46" i="27"/>
  <c r="BM46" i="27" s="1"/>
  <c r="BI46" i="27"/>
  <c r="CA46" i="27"/>
  <c r="K46" i="27"/>
  <c r="L46" i="27" s="1"/>
  <c r="CS46" i="27"/>
  <c r="CT46" i="27"/>
  <c r="A46" i="27"/>
  <c r="CH46" i="27"/>
  <c r="CR46" i="27"/>
  <c r="CQ46" i="27"/>
  <c r="BJ46" i="27"/>
  <c r="CP46" i="27"/>
  <c r="AN45" i="27"/>
  <c r="CL46" i="27"/>
  <c r="AL46" i="27"/>
  <c r="E46" i="27"/>
  <c r="AM46" i="27" s="1"/>
  <c r="D48" i="27"/>
  <c r="BN48" i="27" s="1"/>
  <c r="B47" i="27"/>
  <c r="BE47" i="27" s="1"/>
  <c r="C47" i="27"/>
  <c r="J47" i="27" s="1"/>
  <c r="H47" i="27"/>
  <c r="CN47" i="27"/>
  <c r="CB47" i="27"/>
  <c r="CE47" i="27"/>
  <c r="AP47" i="27"/>
  <c r="BK47" i="27"/>
  <c r="BQ47" i="27"/>
  <c r="CK47" i="27"/>
  <c r="CC47" i="27"/>
  <c r="CF47" i="27"/>
  <c r="I47" i="27"/>
  <c r="BA47" i="27"/>
  <c r="CD47" i="27"/>
  <c r="CG47" i="27"/>
  <c r="CI47" i="27"/>
  <c r="CJ47" i="27"/>
  <c r="BC47" i="27"/>
  <c r="BH47" i="27" s="1"/>
  <c r="BZ47" i="27"/>
  <c r="BD47" i="27"/>
  <c r="G47" i="27"/>
  <c r="BY46" i="27"/>
  <c r="BV45" i="27"/>
  <c r="CO45" i="27"/>
  <c r="AO45" i="27"/>
  <c r="CM47" i="27" l="1"/>
  <c r="BI47" i="27"/>
  <c r="BL47" i="27"/>
  <c r="BM47" i="27" s="1"/>
  <c r="AU47" i="27"/>
  <c r="AV47" i="27"/>
  <c r="AX47" i="27"/>
  <c r="AR47" i="27"/>
  <c r="AZ47" i="27"/>
  <c r="AW47" i="27"/>
  <c r="AY47" i="27"/>
  <c r="AQ47" i="27"/>
  <c r="BB47" i="27" s="1"/>
  <c r="AS47" i="27"/>
  <c r="AT47" i="27"/>
  <c r="AK47" i="27"/>
  <c r="CA47" i="27"/>
  <c r="K47" i="27"/>
  <c r="L47" i="27" s="1"/>
  <c r="BY47" i="27"/>
  <c r="AN46" i="27"/>
  <c r="E47" i="27"/>
  <c r="AM47" i="27" s="1"/>
  <c r="BV46" i="27"/>
  <c r="AO46" i="27"/>
  <c r="CO46" i="27"/>
  <c r="CS47" i="27"/>
  <c r="CR47" i="27"/>
  <c r="CQ47" i="27"/>
  <c r="CP47" i="27"/>
  <c r="CH47" i="27"/>
  <c r="BJ47" i="27"/>
  <c r="CT47" i="27"/>
  <c r="A47" i="27"/>
  <c r="AL47" i="27"/>
  <c r="CL47" i="27"/>
  <c r="D49" i="27"/>
  <c r="BN49" i="27" s="1"/>
  <c r="B48" i="27"/>
  <c r="BE48" i="27" s="1"/>
  <c r="C48" i="27"/>
  <c r="J48" i="27" s="1"/>
  <c r="AP48" i="27"/>
  <c r="CG48" i="27"/>
  <c r="CF48" i="27"/>
  <c r="BZ48" i="27"/>
  <c r="BC48" i="27"/>
  <c r="BH48" i="27" s="1"/>
  <c r="BD48" i="27"/>
  <c r="CI48" i="27"/>
  <c r="CJ48" i="27"/>
  <c r="CK48" i="27"/>
  <c r="CB48" i="27"/>
  <c r="CN48" i="27"/>
  <c r="G48" i="27"/>
  <c r="H48" i="27"/>
  <c r="CC48" i="27"/>
  <c r="CD48" i="27"/>
  <c r="BA48" i="27"/>
  <c r="BK48" i="27"/>
  <c r="I48" i="27"/>
  <c r="BQ48" i="27"/>
  <c r="CE48" i="27"/>
  <c r="CM48" i="27" l="1"/>
  <c r="BI48" i="27"/>
  <c r="BL48" i="27"/>
  <c r="BM48" i="27" s="1"/>
  <c r="AS48" i="27"/>
  <c r="AT48" i="27"/>
  <c r="AV48" i="27"/>
  <c r="AX48" i="27"/>
  <c r="AQ48" i="27"/>
  <c r="BB48" i="27" s="1"/>
  <c r="AR48" i="27"/>
  <c r="AU48" i="27"/>
  <c r="AW48" i="27"/>
  <c r="AY48" i="27"/>
  <c r="AZ48" i="27"/>
  <c r="AK48" i="27"/>
  <c r="CA48" i="27"/>
  <c r="K48" i="27"/>
  <c r="L48" i="27" s="1"/>
  <c r="BY48" i="27"/>
  <c r="E48" i="27"/>
  <c r="AM48" i="27" s="1"/>
  <c r="D50" i="27"/>
  <c r="BN50" i="27" s="1"/>
  <c r="B49" i="27"/>
  <c r="BE49" i="27" s="1"/>
  <c r="CC49" i="27"/>
  <c r="CK49" i="27"/>
  <c r="H49" i="27"/>
  <c r="CF49" i="27"/>
  <c r="CE49" i="27"/>
  <c r="C49" i="27"/>
  <c r="AP49" i="27"/>
  <c r="BA49" i="27"/>
  <c r="BC49" i="27"/>
  <c r="BH49" i="27" s="1"/>
  <c r="BQ49" i="27"/>
  <c r="CJ49" i="27"/>
  <c r="BZ49" i="27"/>
  <c r="G49" i="27"/>
  <c r="I49" i="27"/>
  <c r="CB49" i="27"/>
  <c r="BD49" i="27"/>
  <c r="CD49" i="27"/>
  <c r="CI49" i="27"/>
  <c r="CG49" i="27"/>
  <c r="CN49" i="27"/>
  <c r="BK49" i="27"/>
  <c r="AN47" i="27"/>
  <c r="AL48" i="27"/>
  <c r="CS48" i="27"/>
  <c r="BJ48" i="27"/>
  <c r="CH48" i="27"/>
  <c r="CP48" i="27"/>
  <c r="CT48" i="27"/>
  <c r="CQ48" i="27"/>
  <c r="CR48" i="27"/>
  <c r="A48" i="27"/>
  <c r="AO47" i="27"/>
  <c r="CO47" i="27"/>
  <c r="BV47" i="27"/>
  <c r="CL48" i="27"/>
  <c r="AQ49" i="27" l="1"/>
  <c r="BB49" i="27" s="1"/>
  <c r="AY49" i="27"/>
  <c r="AR49" i="27"/>
  <c r="AZ49" i="27"/>
  <c r="AT49" i="27"/>
  <c r="AV49" i="27"/>
  <c r="AS49" i="27"/>
  <c r="AU49" i="27"/>
  <c r="AW49" i="27"/>
  <c r="AX49" i="27"/>
  <c r="AL49" i="27"/>
  <c r="J49" i="27"/>
  <c r="E49" i="27" s="1"/>
  <c r="AM49" i="27" s="1"/>
  <c r="AK49" i="27"/>
  <c r="BI49" i="27"/>
  <c r="BL49" i="27"/>
  <c r="BM49" i="27" s="1"/>
  <c r="CA49" i="27"/>
  <c r="CM49" i="27"/>
  <c r="BV48" i="27"/>
  <c r="AO48" i="27"/>
  <c r="CO48" i="27"/>
  <c r="CS49" i="27"/>
  <c r="BJ49" i="27"/>
  <c r="CP49" i="27"/>
  <c r="CT49" i="27"/>
  <c r="CR49" i="27"/>
  <c r="CH49" i="27"/>
  <c r="A49" i="27"/>
  <c r="CQ49" i="27"/>
  <c r="AN48" i="27"/>
  <c r="K49" i="27"/>
  <c r="L49" i="27" s="1"/>
  <c r="BY49" i="27"/>
  <c r="CL49" i="27"/>
  <c r="D51" i="27"/>
  <c r="BN51" i="27" s="1"/>
  <c r="B50" i="27"/>
  <c r="BE50" i="27" s="1"/>
  <c r="CD50" i="27"/>
  <c r="CI50" i="27"/>
  <c r="CJ50" i="27"/>
  <c r="I50" i="27"/>
  <c r="BD50" i="27"/>
  <c r="AP50" i="27"/>
  <c r="BZ50" i="27"/>
  <c r="CB50" i="27"/>
  <c r="C50" i="27"/>
  <c r="J50" i="27" s="1"/>
  <c r="CN50" i="27"/>
  <c r="CG50" i="27"/>
  <c r="CF50" i="27"/>
  <c r="CK50" i="27"/>
  <c r="CC50" i="27"/>
  <c r="BK50" i="27"/>
  <c r="BA50" i="27"/>
  <c r="BC50" i="27"/>
  <c r="BH50" i="27" s="1"/>
  <c r="H50" i="27"/>
  <c r="CE50" i="27"/>
  <c r="BQ50" i="27"/>
  <c r="G50" i="27"/>
  <c r="CM50" i="27" l="1"/>
  <c r="BL50" i="27"/>
  <c r="BM50" i="27" s="1"/>
  <c r="BI50" i="27"/>
  <c r="AK50" i="27"/>
  <c r="AW50" i="27"/>
  <c r="AX50" i="27"/>
  <c r="AR50" i="27"/>
  <c r="AZ50" i="27"/>
  <c r="AT50" i="27"/>
  <c r="AY50" i="27"/>
  <c r="AQ50" i="27"/>
  <c r="BB50" i="27" s="1"/>
  <c r="AS50" i="27"/>
  <c r="AU50" i="27"/>
  <c r="AV50" i="27"/>
  <c r="CA50" i="27"/>
  <c r="E50" i="27"/>
  <c r="AM50" i="27" s="1"/>
  <c r="K50" i="27"/>
  <c r="L50" i="27" s="1"/>
  <c r="BY50" i="27"/>
  <c r="AL50" i="27"/>
  <c r="D52" i="27"/>
  <c r="BN52" i="27" s="1"/>
  <c r="B51" i="27"/>
  <c r="BE51" i="27" s="1"/>
  <c r="CJ51" i="27"/>
  <c r="CG51" i="27"/>
  <c r="BC51" i="27"/>
  <c r="BH51" i="27" s="1"/>
  <c r="CB51" i="27"/>
  <c r="CN51" i="27"/>
  <c r="I51" i="27"/>
  <c r="AP51" i="27"/>
  <c r="CE51" i="27"/>
  <c r="CF51" i="27"/>
  <c r="CK51" i="27"/>
  <c r="BQ51" i="27"/>
  <c r="G51" i="27"/>
  <c r="CC51" i="27"/>
  <c r="C51" i="27"/>
  <c r="J51" i="27" s="1"/>
  <c r="CD51" i="27"/>
  <c r="BZ51" i="27"/>
  <c r="BA51" i="27"/>
  <c r="BK51" i="27"/>
  <c r="CI51" i="27"/>
  <c r="H51" i="27"/>
  <c r="BD51" i="27"/>
  <c r="CO49" i="27"/>
  <c r="AO49" i="27"/>
  <c r="BV49" i="27"/>
  <c r="CL50" i="27"/>
  <c r="AN49" i="27"/>
  <c r="CS50" i="27"/>
  <c r="CH50" i="27"/>
  <c r="A50" i="27"/>
  <c r="BJ50" i="27"/>
  <c r="CT50" i="27"/>
  <c r="CR50" i="27"/>
  <c r="CQ50" i="27"/>
  <c r="CP50" i="27"/>
  <c r="BL51" i="27" l="1"/>
  <c r="BM51" i="27" s="1"/>
  <c r="BI51" i="27"/>
  <c r="AK51" i="27"/>
  <c r="AU51" i="27"/>
  <c r="AV51" i="27"/>
  <c r="AX51" i="27"/>
  <c r="AR51" i="27"/>
  <c r="AZ51" i="27"/>
  <c r="AQ51" i="27"/>
  <c r="BB51" i="27" s="1"/>
  <c r="AS51" i="27"/>
  <c r="AT51" i="27"/>
  <c r="AW51" i="27"/>
  <c r="AY51" i="27"/>
  <c r="CA51" i="27"/>
  <c r="CM51" i="27"/>
  <c r="AL51" i="27"/>
  <c r="K51" i="27"/>
  <c r="L51" i="27" s="1"/>
  <c r="AN50" i="27"/>
  <c r="AO50" i="27"/>
  <c r="CO50" i="27"/>
  <c r="BV50" i="27"/>
  <c r="BY51" i="27"/>
  <c r="CS51" i="27"/>
  <c r="A51" i="27"/>
  <c r="CT51" i="27"/>
  <c r="CQ51" i="27"/>
  <c r="CP51" i="27"/>
  <c r="CH51" i="27"/>
  <c r="BJ51" i="27"/>
  <c r="CR51" i="27"/>
  <c r="E51" i="27"/>
  <c r="AM51" i="27" s="1"/>
  <c r="CL51" i="27"/>
  <c r="D53" i="27"/>
  <c r="BN53" i="27" s="1"/>
  <c r="B52" i="27"/>
  <c r="BE52" i="27" s="1"/>
  <c r="BZ52" i="27"/>
  <c r="G52" i="27"/>
  <c r="CK52" i="27"/>
  <c r="CJ52" i="27"/>
  <c r="CF52" i="27"/>
  <c r="BC52" i="27"/>
  <c r="BH52" i="27" s="1"/>
  <c r="CD52" i="27"/>
  <c r="CG52" i="27"/>
  <c r="C52" i="27"/>
  <c r="H52" i="27"/>
  <c r="AP52" i="27"/>
  <c r="CB52" i="27"/>
  <c r="CC52" i="27"/>
  <c r="CN52" i="27"/>
  <c r="BD52" i="27"/>
  <c r="I52" i="27"/>
  <c r="BA52" i="27"/>
  <c r="BQ52" i="27"/>
  <c r="BK52" i="27"/>
  <c r="CE52" i="27"/>
  <c r="CI52" i="27"/>
  <c r="BY52" i="27" l="1"/>
  <c r="J52" i="27"/>
  <c r="E52" i="27" s="1"/>
  <c r="AM52" i="27" s="1"/>
  <c r="AS52" i="27"/>
  <c r="AT52" i="27"/>
  <c r="AV52" i="27"/>
  <c r="AX52" i="27"/>
  <c r="AU52" i="27"/>
  <c r="AW52" i="27"/>
  <c r="AY52" i="27"/>
  <c r="AZ52" i="27"/>
  <c r="AQ52" i="27"/>
  <c r="BB52" i="27" s="1"/>
  <c r="AR52" i="27"/>
  <c r="CM52" i="27"/>
  <c r="BL52" i="27"/>
  <c r="BM52" i="27" s="1"/>
  <c r="BI52" i="27"/>
  <c r="AK52" i="27"/>
  <c r="CA52" i="27"/>
  <c r="K52" i="27"/>
  <c r="L52" i="27" s="1"/>
  <c r="CS52" i="27"/>
  <c r="CT52" i="27"/>
  <c r="CR52" i="27"/>
  <c r="CQ52" i="27"/>
  <c r="CH52" i="27"/>
  <c r="BJ52" i="27"/>
  <c r="A52" i="27"/>
  <c r="CP52" i="27"/>
  <c r="CL52" i="27"/>
  <c r="D54" i="27"/>
  <c r="BN54" i="27" s="1"/>
  <c r="B53" i="27"/>
  <c r="BE53" i="27" s="1"/>
  <c r="BQ53" i="27"/>
  <c r="BA53" i="27"/>
  <c r="BZ53" i="27"/>
  <c r="CE53" i="27"/>
  <c r="C53" i="27"/>
  <c r="J53" i="27" s="1"/>
  <c r="I53" i="27"/>
  <c r="CG53" i="27"/>
  <c r="H53" i="27"/>
  <c r="CK53" i="27"/>
  <c r="BK53" i="27"/>
  <c r="CN53" i="27"/>
  <c r="CC53" i="27"/>
  <c r="CI53" i="27"/>
  <c r="CF53" i="27"/>
  <c r="BC53" i="27"/>
  <c r="BH53" i="27" s="1"/>
  <c r="AP53" i="27"/>
  <c r="G53" i="27"/>
  <c r="CD53" i="27"/>
  <c r="CJ53" i="27"/>
  <c r="CB53" i="27"/>
  <c r="BD53" i="27"/>
  <c r="AO51" i="27"/>
  <c r="BV51" i="27"/>
  <c r="CO51" i="27"/>
  <c r="AN51" i="27"/>
  <c r="AL52" i="27"/>
  <c r="AK53" i="27" l="1"/>
  <c r="CM53" i="27"/>
  <c r="BI53" i="27"/>
  <c r="BL53" i="27"/>
  <c r="BM53" i="27" s="1"/>
  <c r="AQ53" i="27"/>
  <c r="BB53" i="27" s="1"/>
  <c r="AY53" i="27"/>
  <c r="AR53" i="27"/>
  <c r="AZ53" i="27"/>
  <c r="AT53" i="27"/>
  <c r="AV53" i="27"/>
  <c r="AS53" i="27"/>
  <c r="AU53" i="27"/>
  <c r="AW53" i="27"/>
  <c r="AX53" i="27"/>
  <c r="CA53" i="27"/>
  <c r="BY53" i="27"/>
  <c r="K53" i="27"/>
  <c r="L53" i="27" s="1"/>
  <c r="CS53" i="27"/>
  <c r="CQ53" i="27"/>
  <c r="A53" i="27"/>
  <c r="CP53" i="27"/>
  <c r="CT53" i="27"/>
  <c r="CR53" i="27"/>
  <c r="BJ53" i="27"/>
  <c r="CH53" i="27"/>
  <c r="CL53" i="27"/>
  <c r="E53" i="27"/>
  <c r="AM53" i="27" s="1"/>
  <c r="D55" i="27"/>
  <c r="BN55" i="27" s="1"/>
  <c r="B54" i="27"/>
  <c r="BE54" i="27" s="1"/>
  <c r="CN54" i="27"/>
  <c r="C54" i="27"/>
  <c r="J54" i="27" s="1"/>
  <c r="CB54" i="27"/>
  <c r="CG54" i="27"/>
  <c r="BD54" i="27"/>
  <c r="H54" i="27"/>
  <c r="AP54" i="27"/>
  <c r="CE54" i="27"/>
  <c r="CK54" i="27"/>
  <c r="CF54" i="27"/>
  <c r="BQ54" i="27"/>
  <c r="CC54" i="27"/>
  <c r="CJ54" i="27"/>
  <c r="BZ54" i="27"/>
  <c r="BC54" i="27"/>
  <c r="BH54" i="27" s="1"/>
  <c r="I54" i="27"/>
  <c r="G54" i="27"/>
  <c r="CD54" i="27"/>
  <c r="BK54" i="27"/>
  <c r="BA54" i="27"/>
  <c r="CI54" i="27"/>
  <c r="AN52" i="27"/>
  <c r="AL53" i="27"/>
  <c r="CO52" i="27"/>
  <c r="AO52" i="27"/>
  <c r="BV52" i="27"/>
  <c r="AK54" i="27" l="1"/>
  <c r="CM54" i="27"/>
  <c r="BL54" i="27"/>
  <c r="BM54" i="27" s="1"/>
  <c r="BI54" i="27"/>
  <c r="AW54" i="27"/>
  <c r="AX54" i="27"/>
  <c r="AR54" i="27"/>
  <c r="AZ54" i="27"/>
  <c r="AT54" i="27"/>
  <c r="AQ54" i="27"/>
  <c r="BB54" i="27" s="1"/>
  <c r="AS54" i="27"/>
  <c r="AU54" i="27"/>
  <c r="AV54" i="27"/>
  <c r="AY54" i="27"/>
  <c r="CA54" i="27"/>
  <c r="AL54" i="27"/>
  <c r="K54" i="27"/>
  <c r="L54" i="27" s="1"/>
  <c r="CS54" i="27"/>
  <c r="CP54" i="27"/>
  <c r="CH54" i="27"/>
  <c r="BJ54" i="27"/>
  <c r="A54" i="27"/>
  <c r="CR54" i="27"/>
  <c r="CT54" i="27"/>
  <c r="CQ54" i="27"/>
  <c r="CL54" i="27"/>
  <c r="BY54" i="27"/>
  <c r="D56" i="27"/>
  <c r="BN56" i="27" s="1"/>
  <c r="B55" i="27"/>
  <c r="BE55" i="27" s="1"/>
  <c r="CK55" i="27"/>
  <c r="BA55" i="27"/>
  <c r="BC55" i="27"/>
  <c r="BH55" i="27" s="1"/>
  <c r="BK55" i="27"/>
  <c r="CG55" i="27"/>
  <c r="CI55" i="27"/>
  <c r="CE55" i="27"/>
  <c r="CJ55" i="27"/>
  <c r="BQ55" i="27"/>
  <c r="CB55" i="27"/>
  <c r="BZ55" i="27"/>
  <c r="I55" i="27"/>
  <c r="C55" i="27"/>
  <c r="J55" i="27" s="1"/>
  <c r="CD55" i="27"/>
  <c r="G55" i="27"/>
  <c r="CN55" i="27"/>
  <c r="CC55" i="27"/>
  <c r="CF55" i="27"/>
  <c r="BD55" i="27"/>
  <c r="AP55" i="27"/>
  <c r="H55" i="27"/>
  <c r="CO53" i="27"/>
  <c r="AO53" i="27"/>
  <c r="BV53" i="27"/>
  <c r="AN53" i="27"/>
  <c r="E54" i="27"/>
  <c r="AM54" i="27" s="1"/>
  <c r="CM55" i="27" l="1"/>
  <c r="BI55" i="27"/>
  <c r="BL55" i="27"/>
  <c r="BM55" i="27" s="1"/>
  <c r="AK55" i="27"/>
  <c r="AU55" i="27"/>
  <c r="AV55" i="27"/>
  <c r="AX55" i="27"/>
  <c r="AR55" i="27"/>
  <c r="AZ55" i="27"/>
  <c r="AW55" i="27"/>
  <c r="AY55" i="27"/>
  <c r="AQ55" i="27"/>
  <c r="BB55" i="27" s="1"/>
  <c r="AS55" i="27"/>
  <c r="AT55" i="27"/>
  <c r="CA55" i="27"/>
  <c r="BY55" i="27"/>
  <c r="K55" i="27"/>
  <c r="L55" i="27" s="1"/>
  <c r="CS55" i="27"/>
  <c r="CR55" i="27"/>
  <c r="CP55" i="27"/>
  <c r="CH55" i="27"/>
  <c r="BJ55" i="27"/>
  <c r="A55" i="27"/>
  <c r="CT55" i="27"/>
  <c r="CQ55" i="27"/>
  <c r="E55" i="27"/>
  <c r="AM55" i="27" s="1"/>
  <c r="CL55" i="27"/>
  <c r="AO54" i="27"/>
  <c r="CO54" i="27"/>
  <c r="BV54" i="27"/>
  <c r="D57" i="27"/>
  <c r="BN57" i="27" s="1"/>
  <c r="B56" i="27"/>
  <c r="BE56" i="27" s="1"/>
  <c r="BC56" i="27"/>
  <c r="BH56" i="27" s="1"/>
  <c r="CN56" i="27"/>
  <c r="CD56" i="27"/>
  <c r="BD56" i="27"/>
  <c r="CC56" i="27"/>
  <c r="G56" i="27"/>
  <c r="I56" i="27"/>
  <c r="AP56" i="27"/>
  <c r="BZ56" i="27"/>
  <c r="CB56" i="27"/>
  <c r="C56" i="27"/>
  <c r="J56" i="27" s="1"/>
  <c r="CI56" i="27"/>
  <c r="CG56" i="27"/>
  <c r="CJ56" i="27"/>
  <c r="CK56" i="27"/>
  <c r="H56" i="27"/>
  <c r="CE56" i="27"/>
  <c r="CF56" i="27"/>
  <c r="BQ56" i="27"/>
  <c r="BA56" i="27"/>
  <c r="BK56" i="27"/>
  <c r="AN54" i="27"/>
  <c r="AL55" i="27"/>
  <c r="AS56" i="27" l="1"/>
  <c r="AT56" i="27"/>
  <c r="AV56" i="27"/>
  <c r="AX56" i="27"/>
  <c r="AQ56" i="27"/>
  <c r="BB56" i="27" s="1"/>
  <c r="AR56" i="27"/>
  <c r="AU56" i="27"/>
  <c r="AW56" i="27"/>
  <c r="AY56" i="27"/>
  <c r="AZ56" i="27"/>
  <c r="AK56" i="27"/>
  <c r="CM56" i="27"/>
  <c r="BI56" i="27"/>
  <c r="BL56" i="27"/>
  <c r="BM56" i="27" s="1"/>
  <c r="K56" i="27"/>
  <c r="L56" i="27" s="1"/>
  <c r="CA56" i="27"/>
  <c r="CO55" i="27"/>
  <c r="BV55" i="27"/>
  <c r="AO55" i="27"/>
  <c r="AL56" i="27"/>
  <c r="E56" i="27"/>
  <c r="AM56" i="27" s="1"/>
  <c r="CS56" i="27"/>
  <c r="CQ56" i="27"/>
  <c r="BJ56" i="27"/>
  <c r="CT56" i="27"/>
  <c r="CR56" i="27"/>
  <c r="CP56" i="27"/>
  <c r="CH56" i="27"/>
  <c r="A56" i="27"/>
  <c r="CL56" i="27"/>
  <c r="D58" i="27"/>
  <c r="BN58" i="27" s="1"/>
  <c r="B57" i="27"/>
  <c r="BE57" i="27" s="1"/>
  <c r="CI57" i="27"/>
  <c r="I57" i="27"/>
  <c r="BC57" i="27"/>
  <c r="BH57" i="27" s="1"/>
  <c r="CD57" i="27"/>
  <c r="CG57" i="27"/>
  <c r="G57" i="27"/>
  <c r="BK57" i="27"/>
  <c r="CN57" i="27"/>
  <c r="BA57" i="27"/>
  <c r="BD57" i="27"/>
  <c r="CF57" i="27"/>
  <c r="CE57" i="27"/>
  <c r="H57" i="27"/>
  <c r="AP57" i="27"/>
  <c r="BQ57" i="27"/>
  <c r="CJ57" i="27"/>
  <c r="CC57" i="27"/>
  <c r="CB57" i="27"/>
  <c r="BZ57" i="27"/>
  <c r="CK57" i="27"/>
  <c r="C57" i="27"/>
  <c r="J57" i="27" s="1"/>
  <c r="BY56" i="27"/>
  <c r="AN55" i="27"/>
  <c r="AK57" i="27" l="1"/>
  <c r="AQ57" i="27"/>
  <c r="BB57" i="27" s="1"/>
  <c r="AY57" i="27"/>
  <c r="AR57" i="27"/>
  <c r="AZ57" i="27"/>
  <c r="AT57" i="27"/>
  <c r="AV57" i="27"/>
  <c r="AS57" i="27"/>
  <c r="AU57" i="27"/>
  <c r="AW57" i="27"/>
  <c r="AX57" i="27"/>
  <c r="BI57" i="27"/>
  <c r="BL57" i="27"/>
  <c r="BM57" i="27" s="1"/>
  <c r="CA57" i="27"/>
  <c r="CM57" i="27"/>
  <c r="E57" i="27"/>
  <c r="AM57" i="27" s="1"/>
  <c r="K57" i="27"/>
  <c r="L57" i="27" s="1"/>
  <c r="BY57" i="27"/>
  <c r="CL57" i="27"/>
  <c r="D59" i="27"/>
  <c r="BN59" i="27" s="1"/>
  <c r="B58" i="27"/>
  <c r="BE58" i="27" s="1"/>
  <c r="CB58" i="27"/>
  <c r="BQ58" i="27"/>
  <c r="CK58" i="27"/>
  <c r="CJ58" i="27"/>
  <c r="AP58" i="27"/>
  <c r="I58" i="27"/>
  <c r="CF58" i="27"/>
  <c r="CN58" i="27"/>
  <c r="H58" i="27"/>
  <c r="CE58" i="27"/>
  <c r="CD58" i="27"/>
  <c r="BD58" i="27"/>
  <c r="CG58" i="27"/>
  <c r="G58" i="27"/>
  <c r="BC58" i="27"/>
  <c r="BH58" i="27" s="1"/>
  <c r="CC58" i="27"/>
  <c r="BA58" i="27"/>
  <c r="BK58" i="27"/>
  <c r="C58" i="27"/>
  <c r="AK58" i="27" s="1"/>
  <c r="BZ58" i="27"/>
  <c r="CI58" i="27"/>
  <c r="AL57" i="27"/>
  <c r="AN56" i="27"/>
  <c r="CO56" i="27"/>
  <c r="BV56" i="27"/>
  <c r="AO56" i="27"/>
  <c r="CS57" i="27"/>
  <c r="CP57" i="27"/>
  <c r="CH57" i="27"/>
  <c r="BJ57" i="27"/>
  <c r="A57" i="27"/>
  <c r="CT57" i="27"/>
  <c r="CQ57" i="27"/>
  <c r="CR57" i="27"/>
  <c r="K58" i="27" l="1"/>
  <c r="L58" i="27" s="1"/>
  <c r="BL58" i="27"/>
  <c r="BM58" i="27" s="1"/>
  <c r="BI58" i="27"/>
  <c r="AL58" i="27"/>
  <c r="J58" i="27"/>
  <c r="E58" i="27" s="1"/>
  <c r="AM58" i="27" s="1"/>
  <c r="AW58" i="27"/>
  <c r="AX58" i="27"/>
  <c r="AR58" i="27"/>
  <c r="AZ58" i="27"/>
  <c r="AT58" i="27"/>
  <c r="AY58" i="27"/>
  <c r="AQ58" i="27"/>
  <c r="BB58" i="27" s="1"/>
  <c r="AS58" i="27"/>
  <c r="AU58" i="27"/>
  <c r="AV58" i="27"/>
  <c r="CA58" i="27"/>
  <c r="CM58" i="27"/>
  <c r="BY58" i="27"/>
  <c r="CL58" i="27"/>
  <c r="AN57" i="27"/>
  <c r="CS58" i="27"/>
  <c r="CT58" i="27"/>
  <c r="CR58" i="27"/>
  <c r="CQ58" i="27"/>
  <c r="A58" i="27"/>
  <c r="CP58" i="27"/>
  <c r="CH58" i="27"/>
  <c r="BJ58" i="27"/>
  <c r="D60" i="27"/>
  <c r="BN60" i="27" s="1"/>
  <c r="B59" i="27"/>
  <c r="BE59" i="27" s="1"/>
  <c r="CE59" i="27"/>
  <c r="CC59" i="27"/>
  <c r="G59" i="27"/>
  <c r="I59" i="27"/>
  <c r="CG59" i="27"/>
  <c r="CF59" i="27"/>
  <c r="CK59" i="27"/>
  <c r="BQ59" i="27"/>
  <c r="BC59" i="27"/>
  <c r="BH59" i="27" s="1"/>
  <c r="CB59" i="27"/>
  <c r="AP59" i="27"/>
  <c r="CJ59" i="27"/>
  <c r="CN59" i="27"/>
  <c r="C59" i="27"/>
  <c r="J59" i="27" s="1"/>
  <c r="BA59" i="27"/>
  <c r="BZ59" i="27"/>
  <c r="BK59" i="27"/>
  <c r="CI59" i="27"/>
  <c r="H59" i="27"/>
  <c r="BD59" i="27"/>
  <c r="CD59" i="27"/>
  <c r="CO57" i="27"/>
  <c r="BV57" i="27"/>
  <c r="AO57" i="27"/>
  <c r="CM59" i="27" l="1"/>
  <c r="BL59" i="27"/>
  <c r="BM59" i="27" s="1"/>
  <c r="BI59" i="27"/>
  <c r="AU59" i="27"/>
  <c r="AV59" i="27"/>
  <c r="AX59" i="27"/>
  <c r="AR59" i="27"/>
  <c r="AZ59" i="27"/>
  <c r="AQ59" i="27"/>
  <c r="BB59" i="27" s="1"/>
  <c r="AS59" i="27"/>
  <c r="AT59" i="27"/>
  <c r="AW59" i="27"/>
  <c r="AY59" i="27"/>
  <c r="AK59" i="27"/>
  <c r="CL59" i="27"/>
  <c r="CA59" i="27"/>
  <c r="K59" i="27"/>
  <c r="L59" i="27" s="1"/>
  <c r="E59" i="27"/>
  <c r="AM59" i="27" s="1"/>
  <c r="BY59" i="27"/>
  <c r="AL59" i="27"/>
  <c r="BV58" i="27"/>
  <c r="AO58" i="27"/>
  <c r="CO58" i="27"/>
  <c r="AN58" i="27"/>
  <c r="CS59" i="27"/>
  <c r="CT59" i="27"/>
  <c r="CR59" i="27"/>
  <c r="CQ59" i="27"/>
  <c r="CP59" i="27"/>
  <c r="CH59" i="27"/>
  <c r="BJ59" i="27"/>
  <c r="A59" i="27"/>
  <c r="D61" i="27"/>
  <c r="BN61" i="27" s="1"/>
  <c r="B60" i="27"/>
  <c r="BE60" i="27" s="1"/>
  <c r="CG60" i="27"/>
  <c r="BD60" i="27"/>
  <c r="G60" i="27"/>
  <c r="BC60" i="27"/>
  <c r="BH60" i="27" s="1"/>
  <c r="BZ60" i="27"/>
  <c r="CB60" i="27"/>
  <c r="CF60" i="27"/>
  <c r="C60" i="27"/>
  <c r="J60" i="27" s="1"/>
  <c r="CK60" i="27"/>
  <c r="CN60" i="27"/>
  <c r="H60" i="27"/>
  <c r="CJ60" i="27"/>
  <c r="CC60" i="27"/>
  <c r="AP60" i="27"/>
  <c r="CD60" i="27"/>
  <c r="I60" i="27"/>
  <c r="BQ60" i="27"/>
  <c r="BA60" i="27"/>
  <c r="CE60" i="27"/>
  <c r="BK60" i="27"/>
  <c r="CI60" i="27"/>
  <c r="AS60" i="27" l="1"/>
  <c r="AT60" i="27"/>
  <c r="AV60" i="27"/>
  <c r="AX60" i="27"/>
  <c r="AU60" i="27"/>
  <c r="AW60" i="27"/>
  <c r="AY60" i="27"/>
  <c r="AZ60" i="27"/>
  <c r="AQ60" i="27"/>
  <c r="BB60" i="27" s="1"/>
  <c r="AR60" i="27"/>
  <c r="CM60" i="27"/>
  <c r="BL60" i="27"/>
  <c r="BM60" i="27" s="1"/>
  <c r="BI60" i="27"/>
  <c r="AK60" i="27"/>
  <c r="CA60" i="27"/>
  <c r="K60" i="27"/>
  <c r="L60" i="27" s="1"/>
  <c r="CL60" i="27"/>
  <c r="E60" i="27"/>
  <c r="AM60" i="27" s="1"/>
  <c r="AN59" i="27"/>
  <c r="D62" i="27"/>
  <c r="BN62" i="27" s="1"/>
  <c r="B61" i="27"/>
  <c r="BE61" i="27" s="1"/>
  <c r="CK61" i="27"/>
  <c r="BD61" i="27"/>
  <c r="CD61" i="27"/>
  <c r="CJ61" i="27"/>
  <c r="CB61" i="27"/>
  <c r="I61" i="27"/>
  <c r="CF61" i="27"/>
  <c r="G61" i="27"/>
  <c r="CG61" i="27"/>
  <c r="BC61" i="27"/>
  <c r="BH61" i="27" s="1"/>
  <c r="AP61" i="27"/>
  <c r="BA61" i="27"/>
  <c r="BQ61" i="27"/>
  <c r="BZ61" i="27"/>
  <c r="CE61" i="27"/>
  <c r="CI61" i="27"/>
  <c r="C61" i="27"/>
  <c r="J61" i="27" s="1"/>
  <c r="BK61" i="27"/>
  <c r="CC61" i="27"/>
  <c r="H61" i="27"/>
  <c r="CN61" i="27"/>
  <c r="AL60" i="27"/>
  <c r="BV59" i="27"/>
  <c r="AO59" i="27"/>
  <c r="CO59" i="27"/>
  <c r="BY60" i="27"/>
  <c r="CS60" i="27"/>
  <c r="CT60" i="27"/>
  <c r="A60" i="27"/>
  <c r="BJ60" i="27"/>
  <c r="CH60" i="27"/>
  <c r="CP60" i="27"/>
  <c r="CQ60" i="27"/>
  <c r="CR60" i="27"/>
  <c r="CM61" i="27" l="1"/>
  <c r="BI61" i="27"/>
  <c r="BL61" i="27"/>
  <c r="BM61" i="27" s="1"/>
  <c r="AK61" i="27"/>
  <c r="AQ61" i="27"/>
  <c r="BB61" i="27" s="1"/>
  <c r="AY61" i="27"/>
  <c r="AR61" i="27"/>
  <c r="AZ61" i="27"/>
  <c r="AT61" i="27"/>
  <c r="AV61" i="27"/>
  <c r="AS61" i="27"/>
  <c r="AU61" i="27"/>
  <c r="AW61" i="27"/>
  <c r="AX61" i="27"/>
  <c r="CL61" i="27"/>
  <c r="CA61" i="27"/>
  <c r="BY61" i="27"/>
  <c r="AN60" i="27"/>
  <c r="K61" i="27"/>
  <c r="L61" i="27" s="1"/>
  <c r="D63" i="27"/>
  <c r="BN63" i="27" s="1"/>
  <c r="B62" i="27"/>
  <c r="BE62" i="27" s="1"/>
  <c r="CN62" i="27"/>
  <c r="CB62" i="27"/>
  <c r="BZ62" i="27"/>
  <c r="I62" i="27"/>
  <c r="H62" i="27"/>
  <c r="CF62" i="27"/>
  <c r="CG62" i="27"/>
  <c r="CJ62" i="27"/>
  <c r="G62" i="27"/>
  <c r="BC62" i="27"/>
  <c r="BH62" i="27" s="1"/>
  <c r="BD62" i="27"/>
  <c r="BQ62" i="27"/>
  <c r="CD62" i="27"/>
  <c r="CE62" i="27"/>
  <c r="CK62" i="27"/>
  <c r="AP62" i="27"/>
  <c r="C62" i="27"/>
  <c r="J62" i="27" s="1"/>
  <c r="CC62" i="27"/>
  <c r="BA62" i="27"/>
  <c r="BK62" i="27"/>
  <c r="CI62" i="27"/>
  <c r="CS61" i="27"/>
  <c r="A61" i="27"/>
  <c r="CT61" i="27"/>
  <c r="BJ61" i="27"/>
  <c r="CR61" i="27"/>
  <c r="CQ61" i="27"/>
  <c r="CP61" i="27"/>
  <c r="CH61" i="27"/>
  <c r="AO60" i="27"/>
  <c r="BV60" i="27"/>
  <c r="CO60" i="27"/>
  <c r="E61" i="27"/>
  <c r="AM61" i="27" s="1"/>
  <c r="AL61" i="27"/>
  <c r="CM62" i="27" l="1"/>
  <c r="BL62" i="27"/>
  <c r="BM62" i="27" s="1"/>
  <c r="BI62" i="27"/>
  <c r="AK62" i="27"/>
  <c r="AW62" i="27"/>
  <c r="AX62" i="27"/>
  <c r="AR62" i="27"/>
  <c r="AT62" i="27"/>
  <c r="AQ62" i="27"/>
  <c r="BB62" i="27" s="1"/>
  <c r="AS62" i="27"/>
  <c r="AU62" i="27"/>
  <c r="AV62" i="27"/>
  <c r="AY62" i="27"/>
  <c r="AZ62" i="27"/>
  <c r="CA62" i="27"/>
  <c r="CS62" i="27"/>
  <c r="BJ62" i="27"/>
  <c r="A62" i="27"/>
  <c r="CH62" i="27"/>
  <c r="CR62" i="27"/>
  <c r="CP62" i="27"/>
  <c r="CT62" i="27"/>
  <c r="CQ62" i="27"/>
  <c r="AN61" i="27"/>
  <c r="BV61" i="27"/>
  <c r="AO61" i="27"/>
  <c r="CO61" i="27"/>
  <c r="CL62" i="27"/>
  <c r="D64" i="27"/>
  <c r="BN64" i="27" s="1"/>
  <c r="B63" i="27"/>
  <c r="BE63" i="27" s="1"/>
  <c r="CC63" i="27"/>
  <c r="CE63" i="27"/>
  <c r="G63" i="27"/>
  <c r="CK63" i="27"/>
  <c r="CJ63" i="27"/>
  <c r="CF63" i="27"/>
  <c r="CB63" i="27"/>
  <c r="I63" i="27"/>
  <c r="BK63" i="27"/>
  <c r="BC63" i="27"/>
  <c r="BH63" i="27" s="1"/>
  <c r="BD63" i="27"/>
  <c r="CD63" i="27"/>
  <c r="H63" i="27"/>
  <c r="BQ63" i="27"/>
  <c r="CI63" i="27"/>
  <c r="CN63" i="27"/>
  <c r="AP63" i="27"/>
  <c r="CG63" i="27"/>
  <c r="BZ63" i="27"/>
  <c r="BA63" i="27"/>
  <c r="C63" i="27"/>
  <c r="J63" i="27" s="1"/>
  <c r="AL62" i="27"/>
  <c r="E62" i="27"/>
  <c r="AM62" i="27" s="1"/>
  <c r="K62" i="27"/>
  <c r="L62" i="27" s="1"/>
  <c r="BY62" i="27"/>
  <c r="BI63" i="27" l="1"/>
  <c r="BL63" i="27"/>
  <c r="BM63" i="27" s="1"/>
  <c r="AK63" i="27"/>
  <c r="AS63" i="27"/>
  <c r="AT63" i="27"/>
  <c r="AU63" i="27"/>
  <c r="AV63" i="27"/>
  <c r="AW63" i="27"/>
  <c r="AX63" i="27"/>
  <c r="AQ63" i="27"/>
  <c r="BB63" i="27" s="1"/>
  <c r="AR63" i="27"/>
  <c r="AY63" i="27"/>
  <c r="AZ63" i="27"/>
  <c r="CA63" i="27"/>
  <c r="CM63" i="27"/>
  <c r="CL63" i="27"/>
  <c r="AN62" i="27"/>
  <c r="CS63" i="27"/>
  <c r="A63" i="27"/>
  <c r="CQ63" i="27"/>
  <c r="CP63" i="27"/>
  <c r="CH63" i="27"/>
  <c r="BJ63" i="27"/>
  <c r="CR63" i="27"/>
  <c r="CT63" i="27"/>
  <c r="D65" i="27"/>
  <c r="BN65" i="27" s="1"/>
  <c r="B64" i="27"/>
  <c r="BE64" i="27" s="1"/>
  <c r="BD64" i="27"/>
  <c r="CF64" i="27"/>
  <c r="CE64" i="27"/>
  <c r="BQ64" i="27"/>
  <c r="CD64" i="27"/>
  <c r="CG64" i="27"/>
  <c r="CJ64" i="27"/>
  <c r="H64" i="27"/>
  <c r="BZ64" i="27"/>
  <c r="CN64" i="27"/>
  <c r="I64" i="27"/>
  <c r="CB64" i="27"/>
  <c r="C64" i="27"/>
  <c r="J64" i="27" s="1"/>
  <c r="CI64" i="27"/>
  <c r="AP64" i="27"/>
  <c r="BC64" i="27"/>
  <c r="BH64" i="27" s="1"/>
  <c r="BA64" i="27"/>
  <c r="CC64" i="27"/>
  <c r="BK64" i="27"/>
  <c r="CK64" i="27"/>
  <c r="G64" i="27"/>
  <c r="CO62" i="27"/>
  <c r="AO62" i="27"/>
  <c r="BV62" i="27"/>
  <c r="E63" i="27"/>
  <c r="AM63" i="27" s="1"/>
  <c r="K63" i="27"/>
  <c r="L63" i="27" s="1"/>
  <c r="BY63" i="27"/>
  <c r="AL63" i="27"/>
  <c r="AQ64" i="27" l="1"/>
  <c r="BB64" i="27" s="1"/>
  <c r="AY64" i="27"/>
  <c r="AR64" i="27"/>
  <c r="AZ64" i="27"/>
  <c r="AS64" i="27"/>
  <c r="AT64" i="27"/>
  <c r="AU64" i="27"/>
  <c r="AV64" i="27"/>
  <c r="AW64" i="27"/>
  <c r="AX64" i="27"/>
  <c r="CM64" i="27"/>
  <c r="BI64" i="27"/>
  <c r="BL64" i="27"/>
  <c r="BM64" i="27" s="1"/>
  <c r="AK64" i="27"/>
  <c r="CA64" i="27"/>
  <c r="CL64" i="27"/>
  <c r="D66" i="27"/>
  <c r="BN66" i="27" s="1"/>
  <c r="B65" i="27"/>
  <c r="BE65" i="27" s="1"/>
  <c r="G65" i="27"/>
  <c r="CC65" i="27"/>
  <c r="C65" i="27"/>
  <c r="J65" i="27" s="1"/>
  <c r="AP65" i="27"/>
  <c r="BZ65" i="27"/>
  <c r="CN65" i="27"/>
  <c r="CF65" i="27"/>
  <c r="CK65" i="27"/>
  <c r="CD65" i="27"/>
  <c r="CI65" i="27"/>
  <c r="I65" i="27"/>
  <c r="BD65" i="27"/>
  <c r="BA65" i="27"/>
  <c r="H65" i="27"/>
  <c r="BQ65" i="27"/>
  <c r="BK65" i="27"/>
  <c r="CG65" i="27"/>
  <c r="CJ65" i="27"/>
  <c r="CE65" i="27"/>
  <c r="BC65" i="27"/>
  <c r="BH65" i="27" s="1"/>
  <c r="CB65" i="27"/>
  <c r="BV63" i="27"/>
  <c r="AO63" i="27"/>
  <c r="CO63" i="27"/>
  <c r="K64" i="27"/>
  <c r="L64" i="27" s="1"/>
  <c r="BY64" i="27"/>
  <c r="E64" i="27"/>
  <c r="AM64" i="27" s="1"/>
  <c r="AL64" i="27"/>
  <c r="AN63" i="27"/>
  <c r="CS64" i="27"/>
  <c r="CH64" i="27"/>
  <c r="CT64" i="27"/>
  <c r="CQ64" i="27"/>
  <c r="A64" i="27"/>
  <c r="BJ64" i="27"/>
  <c r="CP64" i="27"/>
  <c r="CR64" i="27"/>
  <c r="AK65" i="27" l="1"/>
  <c r="CM65" i="27"/>
  <c r="BI65" i="27"/>
  <c r="BL65" i="27"/>
  <c r="BM65" i="27" s="1"/>
  <c r="AW65" i="27"/>
  <c r="AX65" i="27"/>
  <c r="AQ65" i="27"/>
  <c r="BB65" i="27" s="1"/>
  <c r="AY65" i="27"/>
  <c r="AR65" i="27"/>
  <c r="AZ65" i="27"/>
  <c r="AS65" i="27"/>
  <c r="AT65" i="27"/>
  <c r="AU65" i="27"/>
  <c r="AV65" i="27"/>
  <c r="CA65" i="27"/>
  <c r="BY65" i="27"/>
  <c r="AL65" i="27"/>
  <c r="E65" i="27"/>
  <c r="AM65" i="27" s="1"/>
  <c r="K65" i="27"/>
  <c r="L65" i="27" s="1"/>
  <c r="AN64" i="27"/>
  <c r="CO64" i="27"/>
  <c r="BV64" i="27"/>
  <c r="AO64" i="27"/>
  <c r="CS65" i="27"/>
  <c r="CT65" i="27"/>
  <c r="BJ65" i="27"/>
  <c r="A65" i="27"/>
  <c r="CH65" i="27"/>
  <c r="CQ65" i="27"/>
  <c r="CR65" i="27"/>
  <c r="CP65" i="27"/>
  <c r="CL65" i="27"/>
  <c r="D67" i="27"/>
  <c r="BN67" i="27" s="1"/>
  <c r="B66" i="27"/>
  <c r="BE66" i="27" s="1"/>
  <c r="CN66" i="27"/>
  <c r="H66" i="27"/>
  <c r="BA66" i="27"/>
  <c r="CG66" i="27"/>
  <c r="BD66" i="27"/>
  <c r="CC66" i="27"/>
  <c r="CD66" i="27"/>
  <c r="CI66" i="27"/>
  <c r="BC66" i="27"/>
  <c r="BH66" i="27" s="1"/>
  <c r="CF66" i="27"/>
  <c r="G66" i="27"/>
  <c r="CE66" i="27"/>
  <c r="BZ66" i="27"/>
  <c r="C66" i="27"/>
  <c r="J66" i="27" s="1"/>
  <c r="BQ66" i="27"/>
  <c r="CJ66" i="27"/>
  <c r="CB66" i="27"/>
  <c r="I66" i="27"/>
  <c r="CK66" i="27"/>
  <c r="BK66" i="27"/>
  <c r="AP66" i="27"/>
  <c r="AK66" i="27" l="1"/>
  <c r="AU66" i="27"/>
  <c r="AV66" i="27"/>
  <c r="AW66" i="27"/>
  <c r="AX66" i="27"/>
  <c r="AQ66" i="27"/>
  <c r="BB66" i="27" s="1"/>
  <c r="AY66" i="27"/>
  <c r="AR66" i="27"/>
  <c r="AZ66" i="27"/>
  <c r="AS66" i="27"/>
  <c r="AT66" i="27"/>
  <c r="CM66" i="27"/>
  <c r="BL66" i="27"/>
  <c r="BM66" i="27" s="1"/>
  <c r="BI66" i="27"/>
  <c r="CA66" i="27"/>
  <c r="CL66" i="27"/>
  <c r="AL66" i="27"/>
  <c r="E66" i="27"/>
  <c r="AM66" i="27" s="1"/>
  <c r="CS66" i="27"/>
  <c r="CQ66" i="27"/>
  <c r="CR66" i="27"/>
  <c r="CT66" i="27"/>
  <c r="CP66" i="27"/>
  <c r="A66" i="27"/>
  <c r="BJ66" i="27"/>
  <c r="CH66" i="27"/>
  <c r="D68" i="27"/>
  <c r="BN68" i="27" s="1"/>
  <c r="B67" i="27"/>
  <c r="BE67" i="27" s="1"/>
  <c r="CK67" i="27"/>
  <c r="BZ67" i="27"/>
  <c r="C67" i="27"/>
  <c r="J67" i="27" s="1"/>
  <c r="CI67" i="27"/>
  <c r="BA67" i="27"/>
  <c r="G67" i="27"/>
  <c r="I67" i="27"/>
  <c r="CG67" i="27"/>
  <c r="BQ67" i="27"/>
  <c r="CB67" i="27"/>
  <c r="CE67" i="27"/>
  <c r="CJ67" i="27"/>
  <c r="BC67" i="27"/>
  <c r="BH67" i="27" s="1"/>
  <c r="CC67" i="27"/>
  <c r="BD67" i="27"/>
  <c r="H67" i="27"/>
  <c r="CN67" i="27"/>
  <c r="CF67" i="27"/>
  <c r="AP67" i="27"/>
  <c r="CD67" i="27"/>
  <c r="BK67" i="27"/>
  <c r="BV65" i="27"/>
  <c r="CO65" i="27"/>
  <c r="AO65" i="27"/>
  <c r="K66" i="27"/>
  <c r="L66" i="27" s="1"/>
  <c r="AN65" i="27"/>
  <c r="BY66" i="27"/>
  <c r="AK67" i="27" l="1"/>
  <c r="BL67" i="27"/>
  <c r="BM67" i="27" s="1"/>
  <c r="BI67" i="27"/>
  <c r="AS67" i="27"/>
  <c r="AT67" i="27"/>
  <c r="AU67" i="27"/>
  <c r="AV67" i="27"/>
  <c r="AW67" i="27"/>
  <c r="AX67" i="27"/>
  <c r="AQ67" i="27"/>
  <c r="BB67" i="27" s="1"/>
  <c r="AR67" i="27"/>
  <c r="AY67" i="27"/>
  <c r="AZ67" i="27"/>
  <c r="CA67" i="27"/>
  <c r="CM67" i="27"/>
  <c r="BY67" i="27"/>
  <c r="CS67" i="27"/>
  <c r="CH67" i="27"/>
  <c r="BJ67" i="27"/>
  <c r="CR67" i="27"/>
  <c r="CP67" i="27"/>
  <c r="CQ67" i="27"/>
  <c r="CT67" i="27"/>
  <c r="A67" i="27"/>
  <c r="CL67" i="27"/>
  <c r="K67" i="27"/>
  <c r="L67" i="27" s="1"/>
  <c r="E67" i="27"/>
  <c r="AM67" i="27" s="1"/>
  <c r="D69" i="27"/>
  <c r="BN69" i="27" s="1"/>
  <c r="B68" i="27"/>
  <c r="BE68" i="27" s="1"/>
  <c r="CI68" i="27"/>
  <c r="BC68" i="27"/>
  <c r="BH68" i="27" s="1"/>
  <c r="CN68" i="27"/>
  <c r="CE68" i="27"/>
  <c r="CD68" i="27"/>
  <c r="C68" i="27"/>
  <c r="J68" i="27" s="1"/>
  <c r="BQ68" i="27"/>
  <c r="BD68" i="27"/>
  <c r="CB68" i="27"/>
  <c r="G68" i="27"/>
  <c r="BZ68" i="27"/>
  <c r="I68" i="27"/>
  <c r="AP68" i="27"/>
  <c r="CJ68" i="27"/>
  <c r="CK68" i="27"/>
  <c r="CG68" i="27"/>
  <c r="BA68" i="27"/>
  <c r="BK68" i="27"/>
  <c r="CF68" i="27"/>
  <c r="H68" i="27"/>
  <c r="CC68" i="27"/>
  <c r="AO66" i="27"/>
  <c r="CO66" i="27"/>
  <c r="BV66" i="27"/>
  <c r="AN66" i="27"/>
  <c r="AL67" i="27"/>
  <c r="AQ68" i="27" l="1"/>
  <c r="BB68" i="27" s="1"/>
  <c r="AY68" i="27"/>
  <c r="AR68" i="27"/>
  <c r="AZ68" i="27"/>
  <c r="AS68" i="27"/>
  <c r="AT68" i="27"/>
  <c r="AU68" i="27"/>
  <c r="AV68" i="27"/>
  <c r="AW68" i="27"/>
  <c r="AX68" i="27"/>
  <c r="CM68" i="27"/>
  <c r="BL68" i="27"/>
  <c r="BM68" i="27" s="1"/>
  <c r="BI68" i="27"/>
  <c r="AK68" i="27"/>
  <c r="CA68" i="27"/>
  <c r="BY68" i="27"/>
  <c r="E68" i="27"/>
  <c r="AM68" i="27" s="1"/>
  <c r="K68" i="27"/>
  <c r="L68" i="27" s="1"/>
  <c r="D70" i="27"/>
  <c r="BN70" i="27" s="1"/>
  <c r="B69" i="27"/>
  <c r="BE69" i="27" s="1"/>
  <c r="BD69" i="27"/>
  <c r="BC69" i="27"/>
  <c r="BH69" i="27" s="1"/>
  <c r="H69" i="27"/>
  <c r="CG69" i="27"/>
  <c r="I69" i="27"/>
  <c r="CI69" i="27"/>
  <c r="CD69" i="27"/>
  <c r="CJ69" i="27"/>
  <c r="BQ69" i="27"/>
  <c r="CK69" i="27"/>
  <c r="C69" i="27"/>
  <c r="J69" i="27" s="1"/>
  <c r="BK69" i="27"/>
  <c r="CC69" i="27"/>
  <c r="G69" i="27"/>
  <c r="BA69" i="27"/>
  <c r="CN69" i="27"/>
  <c r="CE69" i="27"/>
  <c r="CF69" i="27"/>
  <c r="CB69" i="27"/>
  <c r="AP69" i="27"/>
  <c r="BZ69" i="27"/>
  <c r="AL68" i="27"/>
  <c r="AN67" i="27"/>
  <c r="CS68" i="27"/>
  <c r="BJ68" i="27"/>
  <c r="A68" i="27"/>
  <c r="CT68" i="27"/>
  <c r="CR68" i="27"/>
  <c r="CH68" i="27"/>
  <c r="CQ68" i="27"/>
  <c r="CP68" i="27"/>
  <c r="BV67" i="27"/>
  <c r="AO67" i="27"/>
  <c r="CO67" i="27"/>
  <c r="CL68" i="27"/>
  <c r="AK69" i="27" l="1"/>
  <c r="AW69" i="27"/>
  <c r="AX69" i="27"/>
  <c r="AQ69" i="27"/>
  <c r="BB69" i="27" s="1"/>
  <c r="AY69" i="27"/>
  <c r="AR69" i="27"/>
  <c r="AZ69" i="27"/>
  <c r="AS69" i="27"/>
  <c r="AT69" i="27"/>
  <c r="AU69" i="27"/>
  <c r="AV69" i="27"/>
  <c r="BI69" i="27"/>
  <c r="BL69" i="27"/>
  <c r="BM69" i="27" s="1"/>
  <c r="CA69" i="27"/>
  <c r="CM69" i="27"/>
  <c r="AL69" i="27"/>
  <c r="K69" i="27"/>
  <c r="L69" i="27" s="1"/>
  <c r="E69" i="27"/>
  <c r="AM69" i="27" s="1"/>
  <c r="AN68" i="27"/>
  <c r="BY69" i="27"/>
  <c r="CS69" i="27"/>
  <c r="CH69" i="27"/>
  <c r="BJ69" i="27"/>
  <c r="CR69" i="27"/>
  <c r="CQ69" i="27"/>
  <c r="A69" i="27"/>
  <c r="CT69" i="27"/>
  <c r="CP69" i="27"/>
  <c r="CL69" i="27"/>
  <c r="BV68" i="27"/>
  <c r="AO68" i="27"/>
  <c r="CO68" i="27"/>
  <c r="D71" i="27"/>
  <c r="BN71" i="27" s="1"/>
  <c r="B70" i="27"/>
  <c r="BE70" i="27" s="1"/>
  <c r="CJ70" i="27"/>
  <c r="CF70" i="27"/>
  <c r="CG70" i="27"/>
  <c r="C70" i="27"/>
  <c r="J70" i="27" s="1"/>
  <c r="G70" i="27"/>
  <c r="H70" i="27"/>
  <c r="CB70" i="27"/>
  <c r="CE70" i="27"/>
  <c r="BQ70" i="27"/>
  <c r="BZ70" i="27"/>
  <c r="CN70" i="27"/>
  <c r="CK70" i="27"/>
  <c r="AP70" i="27"/>
  <c r="CC70" i="27"/>
  <c r="BC70" i="27"/>
  <c r="BH70" i="27" s="1"/>
  <c r="CD70" i="27"/>
  <c r="I70" i="27"/>
  <c r="BD70" i="27"/>
  <c r="BA70" i="27"/>
  <c r="BK70" i="27"/>
  <c r="CI70" i="27"/>
  <c r="AU70" i="27" l="1"/>
  <c r="AV70" i="27"/>
  <c r="AW70" i="27"/>
  <c r="AX70" i="27"/>
  <c r="AQ70" i="27"/>
  <c r="BB70" i="27" s="1"/>
  <c r="AY70" i="27"/>
  <c r="AR70" i="27"/>
  <c r="AZ70" i="27"/>
  <c r="AS70" i="27"/>
  <c r="AT70" i="27"/>
  <c r="BL70" i="27"/>
  <c r="BM70" i="27" s="1"/>
  <c r="BI70" i="27"/>
  <c r="AK70" i="27"/>
  <c r="CA70" i="27"/>
  <c r="CM70" i="27"/>
  <c r="E70" i="27"/>
  <c r="AM70" i="27" s="1"/>
  <c r="AL70" i="27"/>
  <c r="AN69" i="27"/>
  <c r="CS70" i="27"/>
  <c r="BJ70" i="27"/>
  <c r="A70" i="27"/>
  <c r="CQ70" i="27"/>
  <c r="CT70" i="27"/>
  <c r="CH70" i="27"/>
  <c r="CR70" i="27"/>
  <c r="CP70" i="27"/>
  <c r="BY70" i="27"/>
  <c r="CL70" i="27"/>
  <c r="CO69" i="27"/>
  <c r="BV69" i="27"/>
  <c r="AO69" i="27"/>
  <c r="D72" i="27"/>
  <c r="BN72" i="27" s="1"/>
  <c r="B71" i="27"/>
  <c r="BE71" i="27" s="1"/>
  <c r="BD71" i="27"/>
  <c r="BC71" i="27"/>
  <c r="BH71" i="27" s="1"/>
  <c r="I71" i="27"/>
  <c r="BQ71" i="27"/>
  <c r="CE71" i="27"/>
  <c r="CK71" i="27"/>
  <c r="CG71" i="27"/>
  <c r="G71" i="27"/>
  <c r="CI71" i="27"/>
  <c r="CC71" i="27"/>
  <c r="CD71" i="27"/>
  <c r="CN71" i="27"/>
  <c r="CF71" i="27"/>
  <c r="BZ71" i="27"/>
  <c r="C71" i="27"/>
  <c r="AK71" i="27" s="1"/>
  <c r="CJ71" i="27"/>
  <c r="H71" i="27"/>
  <c r="CB71" i="27"/>
  <c r="AP71" i="27"/>
  <c r="BK71" i="27"/>
  <c r="BA71" i="27"/>
  <c r="K70" i="27"/>
  <c r="L70" i="27" s="1"/>
  <c r="BY71" i="27" l="1"/>
  <c r="J71" i="27"/>
  <c r="E71" i="27" s="1"/>
  <c r="AM71" i="27" s="1"/>
  <c r="CM71" i="27"/>
  <c r="BI71" i="27"/>
  <c r="BL71" i="27"/>
  <c r="BM71" i="27" s="1"/>
  <c r="AS71" i="27"/>
  <c r="AT71" i="27"/>
  <c r="AU71" i="27"/>
  <c r="AV71" i="27"/>
  <c r="AW71" i="27"/>
  <c r="AX71" i="27"/>
  <c r="AQ71" i="27"/>
  <c r="BB71" i="27" s="1"/>
  <c r="AR71" i="27"/>
  <c r="AY71" i="27"/>
  <c r="AZ71" i="27"/>
  <c r="CA71" i="27"/>
  <c r="AL71" i="27"/>
  <c r="K71" i="27"/>
  <c r="L71" i="27" s="1"/>
  <c r="AN70" i="27"/>
  <c r="CS71" i="27"/>
  <c r="CP71" i="27"/>
  <c r="A71" i="27"/>
  <c r="CH71" i="27"/>
  <c r="BJ71" i="27"/>
  <c r="CR71" i="27"/>
  <c r="CT71" i="27"/>
  <c r="CQ71" i="27"/>
  <c r="CL71" i="27"/>
  <c r="D73" i="27"/>
  <c r="BN73" i="27" s="1"/>
  <c r="B72" i="27"/>
  <c r="BE72" i="27" s="1"/>
  <c r="CF72" i="27"/>
  <c r="CE72" i="27"/>
  <c r="BD72" i="27"/>
  <c r="CB72" i="27"/>
  <c r="CN72" i="27"/>
  <c r="CI72" i="27"/>
  <c r="H72" i="27"/>
  <c r="AP72" i="27"/>
  <c r="C72" i="27"/>
  <c r="J72" i="27" s="1"/>
  <c r="BQ72" i="27"/>
  <c r="CD72" i="27"/>
  <c r="CJ72" i="27"/>
  <c r="CG72" i="27"/>
  <c r="I72" i="27"/>
  <c r="BZ72" i="27"/>
  <c r="G72" i="27"/>
  <c r="BC72" i="27"/>
  <c r="BH72" i="27" s="1"/>
  <c r="CC72" i="27"/>
  <c r="CK72" i="27"/>
  <c r="BA72" i="27"/>
  <c r="BK72" i="27"/>
  <c r="CO70" i="27"/>
  <c r="AO70" i="27"/>
  <c r="BV70" i="27"/>
  <c r="AK72" i="27" l="1"/>
  <c r="CM72" i="27"/>
  <c r="BI72" i="27"/>
  <c r="BL72" i="27"/>
  <c r="BM72" i="27" s="1"/>
  <c r="AQ72" i="27"/>
  <c r="BB72" i="27" s="1"/>
  <c r="AY72" i="27"/>
  <c r="AR72" i="27"/>
  <c r="AZ72" i="27"/>
  <c r="AS72" i="27"/>
  <c r="AT72" i="27"/>
  <c r="AU72" i="27"/>
  <c r="AV72" i="27"/>
  <c r="AW72" i="27"/>
  <c r="AX72" i="27"/>
  <c r="CA72" i="27"/>
  <c r="CO71" i="27"/>
  <c r="AO71" i="27"/>
  <c r="BV71" i="27"/>
  <c r="BY72" i="27"/>
  <c r="AL72" i="27"/>
  <c r="E72" i="27"/>
  <c r="AM72" i="27" s="1"/>
  <c r="K72" i="27"/>
  <c r="L72" i="27" s="1"/>
  <c r="AN71" i="27"/>
  <c r="CS72" i="27"/>
  <c r="A72" i="27"/>
  <c r="BJ72" i="27"/>
  <c r="CH72" i="27"/>
  <c r="CP72" i="27"/>
  <c r="CQ72" i="27"/>
  <c r="CR72" i="27"/>
  <c r="CT72" i="27"/>
  <c r="CL72" i="27"/>
  <c r="D74" i="27"/>
  <c r="BN74" i="27" s="1"/>
  <c r="B73" i="27"/>
  <c r="BE73" i="27" s="1"/>
  <c r="CI73" i="27"/>
  <c r="CF73" i="27"/>
  <c r="C73" i="27"/>
  <c r="AK73" i="27" s="1"/>
  <c r="CK73" i="27"/>
  <c r="AP73" i="27"/>
  <c r="BA73" i="27"/>
  <c r="CC73" i="27"/>
  <c r="G73" i="27"/>
  <c r="BQ73" i="27"/>
  <c r="BZ73" i="27"/>
  <c r="CN73" i="27"/>
  <c r="I73" i="27"/>
  <c r="CD73" i="27"/>
  <c r="BK73" i="27"/>
  <c r="CJ73" i="27"/>
  <c r="CG73" i="27"/>
  <c r="CB73" i="27"/>
  <c r="BD73" i="27"/>
  <c r="H73" i="27"/>
  <c r="CE73" i="27"/>
  <c r="BC73" i="27"/>
  <c r="BH73" i="27" s="1"/>
  <c r="CM73" i="27" l="1"/>
  <c r="BI73" i="27"/>
  <c r="BL73" i="27"/>
  <c r="BM73" i="27" s="1"/>
  <c r="AL73" i="27"/>
  <c r="J73" i="27"/>
  <c r="E73" i="27" s="1"/>
  <c r="AM73" i="27" s="1"/>
  <c r="AW73" i="27"/>
  <c r="AX73" i="27"/>
  <c r="AQ73" i="27"/>
  <c r="BB73" i="27" s="1"/>
  <c r="AY73" i="27"/>
  <c r="AR73" i="27"/>
  <c r="AZ73" i="27"/>
  <c r="AS73" i="27"/>
  <c r="AT73" i="27"/>
  <c r="AU73" i="27"/>
  <c r="AV73" i="27"/>
  <c r="CA73" i="27"/>
  <c r="K73" i="27"/>
  <c r="L73" i="27" s="1"/>
  <c r="D75" i="27"/>
  <c r="BN75" i="27" s="1"/>
  <c r="B74" i="27"/>
  <c r="BE74" i="27" s="1"/>
  <c r="CG74" i="27"/>
  <c r="CD74" i="27"/>
  <c r="CJ74" i="27"/>
  <c r="CN74" i="27"/>
  <c r="BD74" i="27"/>
  <c r="H74" i="27"/>
  <c r="CF74" i="27"/>
  <c r="C74" i="27"/>
  <c r="J74" i="27" s="1"/>
  <c r="CI74" i="27"/>
  <c r="AP74" i="27"/>
  <c r="CB74" i="27"/>
  <c r="BK74" i="27"/>
  <c r="CK74" i="27"/>
  <c r="CE74" i="27"/>
  <c r="CC74" i="27"/>
  <c r="BQ74" i="27"/>
  <c r="BA74" i="27"/>
  <c r="BC74" i="27"/>
  <c r="BH74" i="27" s="1"/>
  <c r="BZ74" i="27"/>
  <c r="G74" i="27"/>
  <c r="I74" i="27"/>
  <c r="BV72" i="27"/>
  <c r="AO72" i="27"/>
  <c r="CO72" i="27"/>
  <c r="BY73" i="27"/>
  <c r="AN72" i="27"/>
  <c r="CS73" i="27"/>
  <c r="CH73" i="27"/>
  <c r="BJ73" i="27"/>
  <c r="A73" i="27"/>
  <c r="CQ73" i="27"/>
  <c r="CP73" i="27"/>
  <c r="CR73" i="27"/>
  <c r="CT73" i="27"/>
  <c r="CL73" i="27"/>
  <c r="K74" i="27" l="1"/>
  <c r="L74" i="27" s="1"/>
  <c r="CM74" i="27"/>
  <c r="BL74" i="27"/>
  <c r="BM74" i="27" s="1"/>
  <c r="BI74" i="27"/>
  <c r="AK74" i="27"/>
  <c r="AU74" i="27"/>
  <c r="AV74" i="27"/>
  <c r="AW74" i="27"/>
  <c r="AX74" i="27"/>
  <c r="AQ74" i="27"/>
  <c r="BB74" i="27" s="1"/>
  <c r="AY74" i="27"/>
  <c r="AR74" i="27"/>
  <c r="AZ74" i="27"/>
  <c r="AS74" i="27"/>
  <c r="AT74" i="27"/>
  <c r="CA74" i="27"/>
  <c r="E74" i="27"/>
  <c r="AM74" i="27" s="1"/>
  <c r="AN73" i="27"/>
  <c r="AL74" i="27"/>
  <c r="AO73" i="27"/>
  <c r="BV73" i="27"/>
  <c r="CO73" i="27"/>
  <c r="CS74" i="27"/>
  <c r="CH74" i="27"/>
  <c r="BJ74" i="27"/>
  <c r="A74" i="27"/>
  <c r="CT74" i="27"/>
  <c r="CR74" i="27"/>
  <c r="CQ74" i="27"/>
  <c r="CP74" i="27"/>
  <c r="CL74" i="27"/>
  <c r="D76" i="27"/>
  <c r="BN76" i="27" s="1"/>
  <c r="B75" i="27"/>
  <c r="BE75" i="27" s="1"/>
  <c r="C75" i="27"/>
  <c r="J75" i="27" s="1"/>
  <c r="BC75" i="27"/>
  <c r="BH75" i="27" s="1"/>
  <c r="CJ75" i="27"/>
  <c r="CG75" i="27"/>
  <c r="CB75" i="27"/>
  <c r="BK75" i="27"/>
  <c r="CN75" i="27"/>
  <c r="CD75" i="27"/>
  <c r="CF75" i="27"/>
  <c r="BA75" i="27"/>
  <c r="AP75" i="27"/>
  <c r="BQ75" i="27"/>
  <c r="BD75" i="27"/>
  <c r="CE75" i="27"/>
  <c r="I75" i="27"/>
  <c r="H75" i="27"/>
  <c r="CK75" i="27"/>
  <c r="BZ75" i="27"/>
  <c r="CC75" i="27"/>
  <c r="G75" i="27"/>
  <c r="CI75" i="27"/>
  <c r="BY74" i="27"/>
  <c r="S6" i="1"/>
  <c r="BY75" i="27" l="1"/>
  <c r="AL75" i="27"/>
  <c r="K75" i="27"/>
  <c r="L75" i="27" s="1"/>
  <c r="AS75" i="27"/>
  <c r="AT75" i="27"/>
  <c r="AU75" i="27"/>
  <c r="AV75" i="27"/>
  <c r="AW75" i="27"/>
  <c r="AX75" i="27"/>
  <c r="AY75" i="27"/>
  <c r="AZ75" i="27"/>
  <c r="AQ75" i="27"/>
  <c r="BB75" i="27" s="1"/>
  <c r="AR75" i="27"/>
  <c r="AK75" i="27"/>
  <c r="CM75" i="27"/>
  <c r="BL75" i="27"/>
  <c r="BM75" i="27" s="1"/>
  <c r="BI75" i="27"/>
  <c r="CA75" i="27"/>
  <c r="CL75" i="27"/>
  <c r="D77" i="27"/>
  <c r="BN77" i="27" s="1"/>
  <c r="B76" i="27"/>
  <c r="BE76" i="27" s="1"/>
  <c r="CK76" i="27"/>
  <c r="CJ76" i="27"/>
  <c r="BD76" i="27"/>
  <c r="BC76" i="27"/>
  <c r="BH76" i="27" s="1"/>
  <c r="CF76" i="27"/>
  <c r="CN76" i="27"/>
  <c r="G76" i="27"/>
  <c r="CC76" i="27"/>
  <c r="H76" i="27"/>
  <c r="CD76" i="27"/>
  <c r="CB76" i="27"/>
  <c r="AP76" i="27"/>
  <c r="BA76" i="27"/>
  <c r="I76" i="27"/>
  <c r="BK76" i="27"/>
  <c r="BQ76" i="27"/>
  <c r="CI76" i="27"/>
  <c r="CE76" i="27"/>
  <c r="CG76" i="27"/>
  <c r="C76" i="27"/>
  <c r="AK76" i="27" s="1"/>
  <c r="BZ76" i="27"/>
  <c r="CO74" i="27"/>
  <c r="BV74" i="27"/>
  <c r="AO74" i="27"/>
  <c r="AN74" i="27"/>
  <c r="E75" i="27"/>
  <c r="AM75" i="27" s="1"/>
  <c r="CS75" i="27"/>
  <c r="BJ75" i="27"/>
  <c r="A75" i="27"/>
  <c r="CR75" i="27"/>
  <c r="CQ75" i="27"/>
  <c r="CT75" i="27"/>
  <c r="CP75" i="27"/>
  <c r="CH75" i="27"/>
  <c r="CM76" i="27" l="1"/>
  <c r="BL76" i="27"/>
  <c r="BM76" i="27" s="1"/>
  <c r="BI76" i="27"/>
  <c r="BY76" i="27"/>
  <c r="J76" i="27"/>
  <c r="E76" i="27" s="1"/>
  <c r="AM76" i="27" s="1"/>
  <c r="AQ76" i="27"/>
  <c r="BB76" i="27" s="1"/>
  <c r="AY76" i="27"/>
  <c r="AR76" i="27"/>
  <c r="AZ76" i="27"/>
  <c r="AS76" i="27"/>
  <c r="AT76" i="27"/>
  <c r="AU76" i="27"/>
  <c r="AV76" i="27"/>
  <c r="AW76" i="27"/>
  <c r="AX76" i="27"/>
  <c r="K76" i="27"/>
  <c r="L76" i="27" s="1"/>
  <c r="CA76" i="27"/>
  <c r="AL76" i="27"/>
  <c r="AN75" i="27"/>
  <c r="CO75" i="27"/>
  <c r="BV75" i="27"/>
  <c r="AO75" i="27"/>
  <c r="CS76" i="27"/>
  <c r="CP76" i="27"/>
  <c r="CH76" i="27"/>
  <c r="BJ76" i="27"/>
  <c r="CT76" i="27"/>
  <c r="A76" i="27"/>
  <c r="CR76" i="27"/>
  <c r="CQ76" i="27"/>
  <c r="CL76" i="27"/>
  <c r="D78" i="27"/>
  <c r="BN78" i="27" s="1"/>
  <c r="B77" i="27"/>
  <c r="BE77" i="27" s="1"/>
  <c r="BC77" i="27"/>
  <c r="BH77" i="27" s="1"/>
  <c r="CG77" i="27"/>
  <c r="CE77" i="27"/>
  <c r="BD77" i="27"/>
  <c r="CN77" i="27"/>
  <c r="BQ77" i="27"/>
  <c r="I77" i="27"/>
  <c r="CK77" i="27"/>
  <c r="CD77" i="27"/>
  <c r="CJ77" i="27"/>
  <c r="G77" i="27"/>
  <c r="CB77" i="27"/>
  <c r="H77" i="27"/>
  <c r="CC77" i="27"/>
  <c r="BA77" i="27"/>
  <c r="BK77" i="27"/>
  <c r="CI77" i="27"/>
  <c r="AP77" i="27"/>
  <c r="C77" i="27"/>
  <c r="AK77" i="27" s="1"/>
  <c r="CF77" i="27"/>
  <c r="BZ77" i="27"/>
  <c r="CM77" i="27" l="1"/>
  <c r="BI77" i="27"/>
  <c r="BL77" i="27"/>
  <c r="BM77" i="27" s="1"/>
  <c r="AW77" i="27"/>
  <c r="AX77" i="27"/>
  <c r="AQ77" i="27"/>
  <c r="BB77" i="27" s="1"/>
  <c r="AY77" i="27"/>
  <c r="AR77" i="27"/>
  <c r="AZ77" i="27"/>
  <c r="AS77" i="27"/>
  <c r="AT77" i="27"/>
  <c r="AU77" i="27"/>
  <c r="AV77" i="27"/>
  <c r="AL77" i="27"/>
  <c r="J77" i="27"/>
  <c r="E77" i="27" s="1"/>
  <c r="AM77" i="27" s="1"/>
  <c r="K77" i="27"/>
  <c r="L77" i="27" s="1"/>
  <c r="CL77" i="27"/>
  <c r="CA77" i="27"/>
  <c r="CS77" i="27"/>
  <c r="A77" i="27"/>
  <c r="CR77" i="27"/>
  <c r="CQ77" i="27"/>
  <c r="CP77" i="27"/>
  <c r="CH77" i="27"/>
  <c r="BJ77" i="27"/>
  <c r="CT77" i="27"/>
  <c r="D79" i="27"/>
  <c r="BN79" i="27" s="1"/>
  <c r="B78" i="27"/>
  <c r="BE78" i="27" s="1"/>
  <c r="CK78" i="27"/>
  <c r="BZ78" i="27"/>
  <c r="BQ78" i="27"/>
  <c r="I78" i="27"/>
  <c r="H78" i="27"/>
  <c r="CF78" i="27"/>
  <c r="BD78" i="27"/>
  <c r="BC78" i="27"/>
  <c r="BH78" i="27" s="1"/>
  <c r="CD78" i="27"/>
  <c r="G78" i="27"/>
  <c r="AP78" i="27"/>
  <c r="CC78" i="27"/>
  <c r="CB78" i="27"/>
  <c r="C78" i="27"/>
  <c r="AK78" i="27" s="1"/>
  <c r="CJ78" i="27"/>
  <c r="CN78" i="27"/>
  <c r="CE78" i="27"/>
  <c r="CG78" i="27"/>
  <c r="BA78" i="27"/>
  <c r="BK78" i="27"/>
  <c r="CI78" i="27"/>
  <c r="CO76" i="27"/>
  <c r="BV76" i="27"/>
  <c r="AO76" i="27"/>
  <c r="BY77" i="27"/>
  <c r="AN76" i="27"/>
  <c r="BL78" i="27" l="1"/>
  <c r="BM78" i="27" s="1"/>
  <c r="BI78" i="27"/>
  <c r="AU78" i="27"/>
  <c r="AV78" i="27"/>
  <c r="AW78" i="27"/>
  <c r="AX78" i="27"/>
  <c r="AQ78" i="27"/>
  <c r="BB78" i="27" s="1"/>
  <c r="AY78" i="27"/>
  <c r="AR78" i="27"/>
  <c r="AZ78" i="27"/>
  <c r="AS78" i="27"/>
  <c r="AT78" i="27"/>
  <c r="BY78" i="27"/>
  <c r="J78" i="27"/>
  <c r="E78" i="27" s="1"/>
  <c r="AM78" i="27" s="1"/>
  <c r="CA78" i="27"/>
  <c r="CM78" i="27"/>
  <c r="CS78" i="27"/>
  <c r="CR78" i="27"/>
  <c r="CH78" i="27"/>
  <c r="CQ78" i="27"/>
  <c r="CT78" i="27"/>
  <c r="CP78" i="27"/>
  <c r="BJ78" i="27"/>
  <c r="A78" i="27"/>
  <c r="AL78" i="27"/>
  <c r="CL78" i="27"/>
  <c r="D80" i="27"/>
  <c r="BN80" i="27" s="1"/>
  <c r="B79" i="27"/>
  <c r="BE79" i="27" s="1"/>
  <c r="BK79" i="27"/>
  <c r="AP79" i="27"/>
  <c r="CN79" i="27"/>
  <c r="I79" i="27"/>
  <c r="CI79" i="27"/>
  <c r="CF79" i="27"/>
  <c r="BA79" i="27"/>
  <c r="BQ79" i="27"/>
  <c r="H79" i="27"/>
  <c r="CK79" i="27"/>
  <c r="BZ79" i="27"/>
  <c r="CC79" i="27"/>
  <c r="C79" i="27"/>
  <c r="J79" i="27" s="1"/>
  <c r="BC79" i="27"/>
  <c r="BH79" i="27" s="1"/>
  <c r="CG79" i="27"/>
  <c r="G79" i="27"/>
  <c r="CD79" i="27"/>
  <c r="CJ79" i="27"/>
  <c r="CB79" i="27"/>
  <c r="BD79" i="27"/>
  <c r="CE79" i="27"/>
  <c r="K78" i="27"/>
  <c r="L78" i="27" s="1"/>
  <c r="BV77" i="27"/>
  <c r="CO77" i="27"/>
  <c r="AO77" i="27"/>
  <c r="AN77" i="27"/>
  <c r="AS79" i="27" l="1"/>
  <c r="AT79" i="27"/>
  <c r="AU79" i="27"/>
  <c r="AV79" i="27"/>
  <c r="AW79" i="27"/>
  <c r="AX79" i="27"/>
  <c r="AQ79" i="27"/>
  <c r="BB79" i="27" s="1"/>
  <c r="AR79" i="27"/>
  <c r="AY79" i="27"/>
  <c r="AZ79" i="27"/>
  <c r="AK79" i="27"/>
  <c r="BI79" i="27"/>
  <c r="BL79" i="27"/>
  <c r="BM79" i="27" s="1"/>
  <c r="CA79" i="27"/>
  <c r="CM79" i="27"/>
  <c r="E79" i="27"/>
  <c r="AM79" i="27" s="1"/>
  <c r="K79" i="27"/>
  <c r="L79" i="27" s="1"/>
  <c r="BY79" i="27"/>
  <c r="CL79" i="27"/>
  <c r="AN78" i="27"/>
  <c r="D81" i="27"/>
  <c r="BN81" i="27" s="1"/>
  <c r="B80" i="27"/>
  <c r="BE80" i="27" s="1"/>
  <c r="CJ80" i="27"/>
  <c r="CG80" i="27"/>
  <c r="BQ80" i="27"/>
  <c r="CI80" i="27"/>
  <c r="C80" i="27"/>
  <c r="J80" i="27" s="1"/>
  <c r="H80" i="27"/>
  <c r="BZ80" i="27"/>
  <c r="CF80" i="27"/>
  <c r="CN80" i="27"/>
  <c r="BD80" i="27"/>
  <c r="AP80" i="27"/>
  <c r="CE80" i="27"/>
  <c r="CD80" i="27"/>
  <c r="CB80" i="27"/>
  <c r="I80" i="27"/>
  <c r="BA80" i="27"/>
  <c r="BK80" i="27"/>
  <c r="G80" i="27"/>
  <c r="BC80" i="27"/>
  <c r="BH80" i="27" s="1"/>
  <c r="CC80" i="27"/>
  <c r="CK80" i="27"/>
  <c r="AL79" i="27"/>
  <c r="AO78" i="27"/>
  <c r="BV78" i="27"/>
  <c r="CO78" i="27"/>
  <c r="CS79" i="27"/>
  <c r="BJ79" i="27"/>
  <c r="CT79" i="27"/>
  <c r="CR79" i="27"/>
  <c r="CQ79" i="27"/>
  <c r="CP79" i="27"/>
  <c r="A79" i="27"/>
  <c r="CH79" i="27"/>
  <c r="CM80" i="27" l="1"/>
  <c r="BI80" i="27"/>
  <c r="BL80" i="27"/>
  <c r="BM80" i="27" s="1"/>
  <c r="AK80" i="27"/>
  <c r="AQ80" i="27"/>
  <c r="BB80" i="27" s="1"/>
  <c r="AY80" i="27"/>
  <c r="AR80" i="27"/>
  <c r="AZ80" i="27"/>
  <c r="AS80" i="27"/>
  <c r="AT80" i="27"/>
  <c r="AU80" i="27"/>
  <c r="AV80" i="27"/>
  <c r="AW80" i="27"/>
  <c r="AX80" i="27"/>
  <c r="CA80" i="27"/>
  <c r="AL80" i="27"/>
  <c r="K80" i="27"/>
  <c r="L80" i="27" s="1"/>
  <c r="CS80" i="27"/>
  <c r="CQ80" i="27"/>
  <c r="CP80" i="27"/>
  <c r="CH80" i="27"/>
  <c r="BJ80" i="27"/>
  <c r="CT80" i="27"/>
  <c r="A80" i="27"/>
  <c r="CR80" i="27"/>
  <c r="CL80" i="27"/>
  <c r="D82" i="27"/>
  <c r="BN82" i="27" s="1"/>
  <c r="B81" i="27"/>
  <c r="BE81" i="27" s="1"/>
  <c r="BC81" i="27"/>
  <c r="BH81" i="27" s="1"/>
  <c r="G81" i="27"/>
  <c r="CJ81" i="27"/>
  <c r="BZ81" i="27"/>
  <c r="C81" i="27"/>
  <c r="J81" i="27" s="1"/>
  <c r="CK81" i="27"/>
  <c r="CG81" i="27"/>
  <c r="CC81" i="27"/>
  <c r="H81" i="27"/>
  <c r="BD81" i="27"/>
  <c r="BA81" i="27"/>
  <c r="BK81" i="27"/>
  <c r="CD81" i="27"/>
  <c r="I81" i="27"/>
  <c r="AP81" i="27"/>
  <c r="CI81" i="27"/>
  <c r="CF81" i="27"/>
  <c r="CB81" i="27"/>
  <c r="BQ81" i="27"/>
  <c r="CN81" i="27"/>
  <c r="CE81" i="27"/>
  <c r="CO79" i="27"/>
  <c r="AO79" i="27"/>
  <c r="BV79" i="27"/>
  <c r="E80" i="27"/>
  <c r="AM80" i="27" s="1"/>
  <c r="AN79" i="27"/>
  <c r="BY80" i="27"/>
  <c r="AK81" i="27" l="1"/>
  <c r="CM81" i="27"/>
  <c r="BI81" i="27"/>
  <c r="BL81" i="27"/>
  <c r="BM81" i="27" s="1"/>
  <c r="AW81" i="27"/>
  <c r="AX81" i="27"/>
  <c r="AQ81" i="27"/>
  <c r="BB81" i="27" s="1"/>
  <c r="AY81" i="27"/>
  <c r="AR81" i="27"/>
  <c r="AZ81" i="27"/>
  <c r="AS81" i="27"/>
  <c r="AT81" i="27"/>
  <c r="AU81" i="27"/>
  <c r="AV81" i="27"/>
  <c r="K81" i="27"/>
  <c r="L81" i="27" s="1"/>
  <c r="CA81" i="27"/>
  <c r="BY81" i="27"/>
  <c r="E81" i="27"/>
  <c r="AM81" i="27" s="1"/>
  <c r="AL81" i="27"/>
  <c r="CS81" i="27"/>
  <c r="CH81" i="27"/>
  <c r="CP81" i="27"/>
  <c r="BJ81" i="27"/>
  <c r="CR81" i="27"/>
  <c r="CQ81" i="27"/>
  <c r="A81" i="27"/>
  <c r="CT81" i="27"/>
  <c r="CL81" i="27"/>
  <c r="D83" i="27"/>
  <c r="BN83" i="27" s="1"/>
  <c r="B82" i="27"/>
  <c r="BE82" i="27" s="1"/>
  <c r="BZ82" i="27"/>
  <c r="BD82" i="27"/>
  <c r="CI82" i="27"/>
  <c r="CC82" i="27"/>
  <c r="AP82" i="27"/>
  <c r="BK82" i="27"/>
  <c r="BC82" i="27"/>
  <c r="BH82" i="27" s="1"/>
  <c r="CE82" i="27"/>
  <c r="G82" i="27"/>
  <c r="BQ82" i="27"/>
  <c r="CJ82" i="27"/>
  <c r="CB82" i="27"/>
  <c r="I82" i="27"/>
  <c r="CG82" i="27"/>
  <c r="CD82" i="27"/>
  <c r="C82" i="27"/>
  <c r="J82" i="27" s="1"/>
  <c r="CN82" i="27"/>
  <c r="CK82" i="27"/>
  <c r="CF82" i="27"/>
  <c r="H82" i="27"/>
  <c r="BA82" i="27"/>
  <c r="AN80" i="27"/>
  <c r="CO80" i="27"/>
  <c r="AO80" i="27"/>
  <c r="BV80" i="27"/>
  <c r="AK82" i="27" l="1"/>
  <c r="AU82" i="27"/>
  <c r="AV82" i="27"/>
  <c r="AW82" i="27"/>
  <c r="AX82" i="27"/>
  <c r="AQ82" i="27"/>
  <c r="BB82" i="27" s="1"/>
  <c r="AR82" i="27"/>
  <c r="AS82" i="27"/>
  <c r="AT82" i="27"/>
  <c r="AY82" i="27"/>
  <c r="AZ82" i="27"/>
  <c r="CM82" i="27"/>
  <c r="BL82" i="27"/>
  <c r="BM82" i="27" s="1"/>
  <c r="BI82" i="27"/>
  <c r="CA82" i="27"/>
  <c r="BY82" i="27"/>
  <c r="E82" i="27"/>
  <c r="AM82" i="27" s="1"/>
  <c r="CS82" i="27"/>
  <c r="CR82" i="27"/>
  <c r="BJ82" i="27"/>
  <c r="A82" i="27"/>
  <c r="CH82" i="27"/>
  <c r="CT82" i="27"/>
  <c r="CQ82" i="27"/>
  <c r="CP82" i="27"/>
  <c r="K82" i="27"/>
  <c r="L82" i="27" s="1"/>
  <c r="CL82" i="27"/>
  <c r="D84" i="27"/>
  <c r="BN84" i="27" s="1"/>
  <c r="B83" i="27"/>
  <c r="BE83" i="27" s="1"/>
  <c r="CE83" i="27"/>
  <c r="BA83" i="27"/>
  <c r="CI83" i="27"/>
  <c r="I83" i="27"/>
  <c r="BQ83" i="27"/>
  <c r="CJ83" i="27"/>
  <c r="BK83" i="27"/>
  <c r="C83" i="27"/>
  <c r="J83" i="27" s="1"/>
  <c r="BD83" i="27"/>
  <c r="CG83" i="27"/>
  <c r="H83" i="27"/>
  <c r="CN83" i="27"/>
  <c r="CK83" i="27"/>
  <c r="CF83" i="27"/>
  <c r="CC83" i="27"/>
  <c r="AP83" i="27"/>
  <c r="BC83" i="27"/>
  <c r="BH83" i="27" s="1"/>
  <c r="CB83" i="27"/>
  <c r="G83" i="27"/>
  <c r="CD83" i="27"/>
  <c r="BZ83" i="27"/>
  <c r="AN81" i="27"/>
  <c r="AL82" i="27"/>
  <c r="BV81" i="27"/>
  <c r="AO81" i="27"/>
  <c r="CO81" i="27"/>
  <c r="CM83" i="27" l="1"/>
  <c r="BL83" i="27"/>
  <c r="BM83" i="27" s="1"/>
  <c r="BI83" i="27"/>
  <c r="AU83" i="27"/>
  <c r="AV83" i="27"/>
  <c r="AW83" i="27"/>
  <c r="AX83" i="27"/>
  <c r="AQ83" i="27"/>
  <c r="BB83" i="27" s="1"/>
  <c r="AY83" i="27"/>
  <c r="AR83" i="27"/>
  <c r="AZ83" i="27"/>
  <c r="AS83" i="27"/>
  <c r="AT83" i="27"/>
  <c r="AK83" i="27"/>
  <c r="CA83" i="27"/>
  <c r="BY83" i="27"/>
  <c r="CS83" i="27"/>
  <c r="CR83" i="27"/>
  <c r="CT83" i="27"/>
  <c r="CQ83" i="27"/>
  <c r="CP83" i="27"/>
  <c r="CH83" i="27"/>
  <c r="BJ83" i="27"/>
  <c r="A83" i="27"/>
  <c r="CL83" i="27"/>
  <c r="CO82" i="27"/>
  <c r="BV82" i="27"/>
  <c r="AO82" i="27"/>
  <c r="K83" i="27"/>
  <c r="L83" i="27" s="1"/>
  <c r="D85" i="27"/>
  <c r="BN85" i="27" s="1"/>
  <c r="B84" i="27"/>
  <c r="BE84" i="27" s="1"/>
  <c r="AP84" i="27"/>
  <c r="H84" i="27"/>
  <c r="CD84" i="27"/>
  <c r="CC84" i="27"/>
  <c r="CK84" i="27"/>
  <c r="BC84" i="27"/>
  <c r="BH84" i="27" s="1"/>
  <c r="G84" i="27"/>
  <c r="CF84" i="27"/>
  <c r="BD84" i="27"/>
  <c r="CB84" i="27"/>
  <c r="CJ84" i="27"/>
  <c r="BZ84" i="27"/>
  <c r="C84" i="27"/>
  <c r="J84" i="27" s="1"/>
  <c r="CN84" i="27"/>
  <c r="BK84" i="27"/>
  <c r="BQ84" i="27"/>
  <c r="CE84" i="27"/>
  <c r="CI84" i="27"/>
  <c r="CG84" i="27"/>
  <c r="I84" i="27"/>
  <c r="BA84" i="27"/>
  <c r="E83" i="27"/>
  <c r="AM83" i="27" s="1"/>
  <c r="AN82" i="27"/>
  <c r="AL83" i="27"/>
  <c r="K84" i="27" l="1"/>
  <c r="L84" i="27" s="1"/>
  <c r="AK84" i="27"/>
  <c r="AS84" i="27"/>
  <c r="AT84" i="27"/>
  <c r="AU84" i="27"/>
  <c r="AV84" i="27"/>
  <c r="AW84" i="27"/>
  <c r="AX84" i="27"/>
  <c r="AQ84" i="27"/>
  <c r="BB84" i="27" s="1"/>
  <c r="AY84" i="27"/>
  <c r="AR84" i="27"/>
  <c r="AZ84" i="27"/>
  <c r="CM84" i="27"/>
  <c r="BL84" i="27"/>
  <c r="BM84" i="27" s="1"/>
  <c r="BI84" i="27"/>
  <c r="CA84" i="27"/>
  <c r="E84" i="27"/>
  <c r="AM84" i="27" s="1"/>
  <c r="BY84" i="27"/>
  <c r="AN83" i="27"/>
  <c r="AL84" i="27"/>
  <c r="CS84" i="27"/>
  <c r="CT84" i="27"/>
  <c r="A84" i="27"/>
  <c r="CQ84" i="27"/>
  <c r="CR84" i="27"/>
  <c r="CP84" i="27"/>
  <c r="CH84" i="27"/>
  <c r="BJ84" i="27"/>
  <c r="CO83" i="27"/>
  <c r="BV83" i="27"/>
  <c r="AO83" i="27"/>
  <c r="CL84" i="27"/>
  <c r="D86" i="27"/>
  <c r="BN86" i="27" s="1"/>
  <c r="B85" i="27"/>
  <c r="BE85" i="27" s="1"/>
  <c r="CC85" i="27"/>
  <c r="BQ85" i="27"/>
  <c r="G85" i="27"/>
  <c r="CN85" i="27"/>
  <c r="CE85" i="27"/>
  <c r="BD85" i="27"/>
  <c r="BC85" i="27"/>
  <c r="BH85" i="27" s="1"/>
  <c r="CK85" i="27"/>
  <c r="CG85" i="27"/>
  <c r="H85" i="27"/>
  <c r="CD85" i="27"/>
  <c r="I85" i="27"/>
  <c r="BA85" i="27"/>
  <c r="BK85" i="27"/>
  <c r="AP85" i="27"/>
  <c r="CI85" i="27"/>
  <c r="CB85" i="27"/>
  <c r="CF85" i="27"/>
  <c r="CJ85" i="27"/>
  <c r="C85" i="27"/>
  <c r="J85" i="27" s="1"/>
  <c r="BZ85" i="27"/>
  <c r="CM85" i="27" l="1"/>
  <c r="BI85" i="27"/>
  <c r="BL85" i="27"/>
  <c r="BM85" i="27" s="1"/>
  <c r="AQ85" i="27"/>
  <c r="BB85" i="27" s="1"/>
  <c r="AY85" i="27"/>
  <c r="AR85" i="27"/>
  <c r="AZ85" i="27"/>
  <c r="AS85" i="27"/>
  <c r="AT85" i="27"/>
  <c r="AU85" i="27"/>
  <c r="AV85" i="27"/>
  <c r="AW85" i="27"/>
  <c r="AX85" i="27"/>
  <c r="AK85" i="27"/>
  <c r="CA85" i="27"/>
  <c r="K85" i="27"/>
  <c r="L85" i="27" s="1"/>
  <c r="CS85" i="27"/>
  <c r="CT85" i="27"/>
  <c r="CQ85" i="27"/>
  <c r="CP85" i="27"/>
  <c r="CH85" i="27"/>
  <c r="BJ85" i="27"/>
  <c r="A85" i="27"/>
  <c r="CR85" i="27"/>
  <c r="AL85" i="27"/>
  <c r="E85" i="27"/>
  <c r="AM85" i="27" s="1"/>
  <c r="D87" i="27"/>
  <c r="BN87" i="27" s="1"/>
  <c r="B86" i="27"/>
  <c r="BE86" i="27" s="1"/>
  <c r="G86" i="27"/>
  <c r="CG86" i="27"/>
  <c r="CK86" i="27"/>
  <c r="CJ86" i="27"/>
  <c r="BQ86" i="27"/>
  <c r="H86" i="27"/>
  <c r="BZ86" i="27"/>
  <c r="I86" i="27"/>
  <c r="BD86" i="27"/>
  <c r="CF86" i="27"/>
  <c r="CB86" i="27"/>
  <c r="CE86" i="27"/>
  <c r="BC86" i="27"/>
  <c r="BH86" i="27" s="1"/>
  <c r="AP86" i="27"/>
  <c r="CD86" i="27"/>
  <c r="CC86" i="27"/>
  <c r="CN86" i="27"/>
  <c r="C86" i="27"/>
  <c r="J86" i="27" s="1"/>
  <c r="BA86" i="27"/>
  <c r="BK86" i="27"/>
  <c r="CI86" i="27"/>
  <c r="AN84" i="27"/>
  <c r="CL85" i="27"/>
  <c r="BY85" i="27"/>
  <c r="AO84" i="27"/>
  <c r="CO84" i="27"/>
  <c r="BV84" i="27"/>
  <c r="AK86" i="27" l="1"/>
  <c r="CM86" i="27"/>
  <c r="BL86" i="27"/>
  <c r="BM86" i="27" s="1"/>
  <c r="BI86" i="27"/>
  <c r="AW86" i="27"/>
  <c r="AX86" i="27"/>
  <c r="AQ86" i="27"/>
  <c r="BB86" i="27" s="1"/>
  <c r="AY86" i="27"/>
  <c r="AR86" i="27"/>
  <c r="AZ86" i="27"/>
  <c r="AS86" i="27"/>
  <c r="AT86" i="27"/>
  <c r="AU86" i="27"/>
  <c r="AV86" i="27"/>
  <c r="CA86" i="27"/>
  <c r="BY86" i="27"/>
  <c r="AL86" i="27"/>
  <c r="K86" i="27"/>
  <c r="L86" i="27" s="1"/>
  <c r="CS86" i="27"/>
  <c r="CR86" i="27"/>
  <c r="CQ86" i="27"/>
  <c r="CH86" i="27"/>
  <c r="CT86" i="27"/>
  <c r="BJ86" i="27"/>
  <c r="A86" i="27"/>
  <c r="CP86" i="27"/>
  <c r="BV85" i="27"/>
  <c r="AO85" i="27"/>
  <c r="CO85" i="27"/>
  <c r="CL86" i="27"/>
  <c r="D88" i="27"/>
  <c r="BN88" i="27" s="1"/>
  <c r="B87" i="27"/>
  <c r="BE87" i="27" s="1"/>
  <c r="BK87" i="27"/>
  <c r="BQ87" i="27"/>
  <c r="BA87" i="27"/>
  <c r="AP87" i="27"/>
  <c r="CN87" i="27"/>
  <c r="I87" i="27"/>
  <c r="CI87" i="27"/>
  <c r="CF87" i="27"/>
  <c r="CG87" i="27"/>
  <c r="G87" i="27"/>
  <c r="CD87" i="27"/>
  <c r="CJ87" i="27"/>
  <c r="CB87" i="27"/>
  <c r="BD87" i="27"/>
  <c r="H87" i="27"/>
  <c r="CE87" i="27"/>
  <c r="CK87" i="27"/>
  <c r="BZ87" i="27"/>
  <c r="CC87" i="27"/>
  <c r="C87" i="27"/>
  <c r="AK87" i="27" s="1"/>
  <c r="BC87" i="27"/>
  <c r="BH87" i="27" s="1"/>
  <c r="E86" i="27"/>
  <c r="AM86" i="27" s="1"/>
  <c r="AN85" i="27"/>
  <c r="AL87" i="27" l="1"/>
  <c r="J87" i="27"/>
  <c r="E87" i="27" s="1"/>
  <c r="AM87" i="27" s="1"/>
  <c r="AU87" i="27"/>
  <c r="AV87" i="27"/>
  <c r="AW87" i="27"/>
  <c r="AX87" i="27"/>
  <c r="AQ87" i="27"/>
  <c r="BB87" i="27" s="1"/>
  <c r="AY87" i="27"/>
  <c r="AR87" i="27"/>
  <c r="AZ87" i="27"/>
  <c r="AS87" i="27"/>
  <c r="AT87" i="27"/>
  <c r="BI87" i="27"/>
  <c r="BL87" i="27"/>
  <c r="BM87" i="27" s="1"/>
  <c r="CA87" i="27"/>
  <c r="CM87" i="27"/>
  <c r="CL87" i="27"/>
  <c r="K87" i="27"/>
  <c r="L87" i="27" s="1"/>
  <c r="AN86" i="27"/>
  <c r="BY87" i="27"/>
  <c r="CS87" i="27"/>
  <c r="CT87" i="27"/>
  <c r="CR87" i="27"/>
  <c r="A87" i="27"/>
  <c r="CP87" i="27"/>
  <c r="CQ87" i="27"/>
  <c r="CH87" i="27"/>
  <c r="BJ87" i="27"/>
  <c r="D89" i="27"/>
  <c r="BN89" i="27" s="1"/>
  <c r="B88" i="27"/>
  <c r="BE88" i="27" s="1"/>
  <c r="C88" i="27"/>
  <c r="J88" i="27" s="1"/>
  <c r="CJ88" i="27"/>
  <c r="BQ88" i="27"/>
  <c r="I88" i="27"/>
  <c r="CE88" i="27"/>
  <c r="CD88" i="27"/>
  <c r="CI88" i="27"/>
  <c r="BZ88" i="27"/>
  <c r="H88" i="27"/>
  <c r="BD88" i="27"/>
  <c r="CN88" i="27"/>
  <c r="CB88" i="27"/>
  <c r="CF88" i="27"/>
  <c r="CG88" i="27"/>
  <c r="AP88" i="27"/>
  <c r="G88" i="27"/>
  <c r="BC88" i="27"/>
  <c r="BH88" i="27" s="1"/>
  <c r="CC88" i="27"/>
  <c r="BA88" i="27"/>
  <c r="CK88" i="27"/>
  <c r="BK88" i="27"/>
  <c r="AO86" i="27"/>
  <c r="CO86" i="27"/>
  <c r="BV86" i="27"/>
  <c r="AS88" i="27" l="1"/>
  <c r="AT88" i="27"/>
  <c r="AU88" i="27"/>
  <c r="AV88" i="27"/>
  <c r="AW88" i="27"/>
  <c r="AX88" i="27"/>
  <c r="AQ88" i="27"/>
  <c r="BB88" i="27" s="1"/>
  <c r="AY88" i="27"/>
  <c r="AR88" i="27"/>
  <c r="AZ88" i="27"/>
  <c r="BI88" i="27"/>
  <c r="BL88" i="27"/>
  <c r="BM88" i="27" s="1"/>
  <c r="AK88" i="27"/>
  <c r="CA88" i="27"/>
  <c r="CM88" i="27"/>
  <c r="BY88" i="27"/>
  <c r="AL88" i="27"/>
  <c r="CS88" i="27"/>
  <c r="A88" i="27"/>
  <c r="CO88" i="27" s="1"/>
  <c r="CT88" i="27"/>
  <c r="CQ88" i="27"/>
  <c r="CR88" i="27"/>
  <c r="CP88" i="27"/>
  <c r="CH88" i="27"/>
  <c r="BJ88" i="27"/>
  <c r="CO87" i="27"/>
  <c r="BV87" i="27"/>
  <c r="AO87" i="27"/>
  <c r="CL88" i="27"/>
  <c r="K88" i="27"/>
  <c r="L88" i="27" s="1"/>
  <c r="AN87" i="27"/>
  <c r="D90" i="27"/>
  <c r="BN90" i="27" s="1"/>
  <c r="B89" i="27"/>
  <c r="BE89" i="27" s="1"/>
  <c r="CC89" i="27"/>
  <c r="BZ89" i="27"/>
  <c r="AP89" i="27"/>
  <c r="C89" i="27"/>
  <c r="J89" i="27" s="1"/>
  <c r="CI89" i="27"/>
  <c r="G89" i="27"/>
  <c r="BC89" i="27"/>
  <c r="BH89" i="27" s="1"/>
  <c r="CJ89" i="27"/>
  <c r="H89" i="27"/>
  <c r="BA89" i="27"/>
  <c r="BD89" i="27"/>
  <c r="BK89" i="27"/>
  <c r="CF89" i="27"/>
  <c r="CK89" i="27"/>
  <c r="CB89" i="27"/>
  <c r="I89" i="27"/>
  <c r="CN89" i="27"/>
  <c r="CE89" i="27"/>
  <c r="BQ89" i="27"/>
  <c r="CD89" i="27"/>
  <c r="CG89" i="27"/>
  <c r="E88" i="27"/>
  <c r="AM88" i="27" s="1"/>
  <c r="CM89" i="27" l="1"/>
  <c r="BI89" i="27"/>
  <c r="BL89" i="27"/>
  <c r="BM89" i="27" s="1"/>
  <c r="AQ89" i="27"/>
  <c r="BB89" i="27" s="1"/>
  <c r="AY89" i="27"/>
  <c r="AR89" i="27"/>
  <c r="AZ89" i="27"/>
  <c r="AS89" i="27"/>
  <c r="AT89" i="27"/>
  <c r="AU89" i="27"/>
  <c r="AV89" i="27"/>
  <c r="AW89" i="27"/>
  <c r="AX89" i="27"/>
  <c r="AK89" i="27"/>
  <c r="CA89" i="27"/>
  <c r="K89" i="27"/>
  <c r="L89" i="27" s="1"/>
  <c r="BY89" i="27"/>
  <c r="AL89" i="27"/>
  <c r="CS89" i="27"/>
  <c r="CT89" i="27"/>
  <c r="BJ89" i="27"/>
  <c r="CQ89" i="27"/>
  <c r="CP89" i="27"/>
  <c r="A89" i="27"/>
  <c r="CH89" i="27"/>
  <c r="CR89" i="27"/>
  <c r="CL89" i="27"/>
  <c r="AN88" i="27"/>
  <c r="D91" i="27"/>
  <c r="BN91" i="27" s="1"/>
  <c r="B90" i="27"/>
  <c r="BE90" i="27" s="1"/>
  <c r="CJ90" i="27"/>
  <c r="BD90" i="27"/>
  <c r="BC90" i="27"/>
  <c r="BH90" i="27" s="1"/>
  <c r="CK90" i="27"/>
  <c r="BZ90" i="27"/>
  <c r="CD90" i="27"/>
  <c r="CI90" i="27"/>
  <c r="C90" i="27"/>
  <c r="J90" i="27" s="1"/>
  <c r="CB90" i="27"/>
  <c r="CG90" i="27"/>
  <c r="H90" i="27"/>
  <c r="CE90" i="27"/>
  <c r="I90" i="27"/>
  <c r="BQ90" i="27"/>
  <c r="BK90" i="27"/>
  <c r="G90" i="27"/>
  <c r="CN90" i="27"/>
  <c r="CC90" i="27"/>
  <c r="BA90" i="27"/>
  <c r="CF90" i="27"/>
  <c r="AP90" i="27"/>
  <c r="AO88" i="27"/>
  <c r="BV88" i="27"/>
  <c r="E89" i="27"/>
  <c r="AM89" i="27" s="1"/>
  <c r="CM90" i="27" l="1"/>
  <c r="BL90" i="27"/>
  <c r="BM90" i="27" s="1"/>
  <c r="BI90" i="27"/>
  <c r="AK90" i="27"/>
  <c r="AW90" i="27"/>
  <c r="AX90" i="27"/>
  <c r="AQ90" i="27"/>
  <c r="BB90" i="27" s="1"/>
  <c r="AY90" i="27"/>
  <c r="AR90" i="27"/>
  <c r="AZ90" i="27"/>
  <c r="AS90" i="27"/>
  <c r="AT90" i="27"/>
  <c r="AU90" i="27"/>
  <c r="AV90" i="27"/>
  <c r="CA90" i="27"/>
  <c r="BY90" i="27"/>
  <c r="CS90" i="27"/>
  <c r="A90" i="27"/>
  <c r="BJ90" i="27"/>
  <c r="CT90" i="27"/>
  <c r="CR90" i="27"/>
  <c r="CH90" i="27"/>
  <c r="CQ90" i="27"/>
  <c r="CP90" i="27"/>
  <c r="BV89" i="27"/>
  <c r="AO89" i="27"/>
  <c r="CO89" i="27"/>
  <c r="E90" i="27"/>
  <c r="AM90" i="27" s="1"/>
  <c r="CL90" i="27"/>
  <c r="D92" i="27"/>
  <c r="BN92" i="27" s="1"/>
  <c r="B91" i="27"/>
  <c r="BE91" i="27" s="1"/>
  <c r="CE91" i="27"/>
  <c r="CB91" i="27"/>
  <c r="C91" i="27"/>
  <c r="AK91" i="27" s="1"/>
  <c r="CK91" i="27"/>
  <c r="CJ91" i="27"/>
  <c r="G91" i="27"/>
  <c r="BA91" i="27"/>
  <c r="CF91" i="27"/>
  <c r="I91" i="27"/>
  <c r="BD91" i="27"/>
  <c r="AP91" i="27"/>
  <c r="BC91" i="27"/>
  <c r="BH91" i="27" s="1"/>
  <c r="BZ91" i="27"/>
  <c r="BK91" i="27"/>
  <c r="CD91" i="27"/>
  <c r="BQ91" i="27"/>
  <c r="CC91" i="27"/>
  <c r="CI91" i="27"/>
  <c r="CG91" i="27"/>
  <c r="H91" i="27"/>
  <c r="CN91" i="27"/>
  <c r="AL90" i="27"/>
  <c r="K90" i="27"/>
  <c r="L90" i="27" s="1"/>
  <c r="AN89" i="27"/>
  <c r="AU91" i="27" l="1"/>
  <c r="AV91" i="27"/>
  <c r="AW91" i="27"/>
  <c r="AX91" i="27"/>
  <c r="AQ91" i="27"/>
  <c r="BB91" i="27" s="1"/>
  <c r="AY91" i="27"/>
  <c r="AR91" i="27"/>
  <c r="AZ91" i="27"/>
  <c r="AS91" i="27"/>
  <c r="AT91" i="27"/>
  <c r="BY91" i="27"/>
  <c r="J91" i="27"/>
  <c r="E91" i="27" s="1"/>
  <c r="AM91" i="27" s="1"/>
  <c r="CM91" i="27"/>
  <c r="BL91" i="27"/>
  <c r="BM91" i="27" s="1"/>
  <c r="BI91" i="27"/>
  <c r="CA91" i="27"/>
  <c r="D93" i="27"/>
  <c r="BN93" i="27" s="1"/>
  <c r="B92" i="27"/>
  <c r="BE92" i="27" s="1"/>
  <c r="H92" i="27"/>
  <c r="CF92" i="27"/>
  <c r="AP92" i="27"/>
  <c r="BA92" i="27"/>
  <c r="I92" i="27"/>
  <c r="CE92" i="27"/>
  <c r="BC92" i="27"/>
  <c r="BH92" i="27" s="1"/>
  <c r="BQ92" i="27"/>
  <c r="BZ92" i="27"/>
  <c r="CI92" i="27"/>
  <c r="C92" i="27"/>
  <c r="J92" i="27" s="1"/>
  <c r="CD92" i="27"/>
  <c r="BD92" i="27"/>
  <c r="CK92" i="27"/>
  <c r="CG92" i="27"/>
  <c r="CN92" i="27"/>
  <c r="CJ92" i="27"/>
  <c r="CB92" i="27"/>
  <c r="BK92" i="27"/>
  <c r="CC92" i="27"/>
  <c r="G92" i="27"/>
  <c r="K91" i="27"/>
  <c r="L91" i="27" s="1"/>
  <c r="AN90" i="27"/>
  <c r="AL91" i="27"/>
  <c r="BV90" i="27"/>
  <c r="AO90" i="27"/>
  <c r="CO90" i="27"/>
  <c r="CS91" i="27"/>
  <c r="CQ91" i="27"/>
  <c r="A91" i="27"/>
  <c r="CP91" i="27"/>
  <c r="BJ91" i="27"/>
  <c r="CT91" i="27"/>
  <c r="CR91" i="27"/>
  <c r="CH91" i="27"/>
  <c r="CL91" i="27"/>
  <c r="AK92" i="27" l="1"/>
  <c r="CM92" i="27"/>
  <c r="BL92" i="27"/>
  <c r="BM92" i="27" s="1"/>
  <c r="BI92" i="27"/>
  <c r="AS92" i="27"/>
  <c r="AT92" i="27"/>
  <c r="AU92" i="27"/>
  <c r="AV92" i="27"/>
  <c r="AW92" i="27"/>
  <c r="AX92" i="27"/>
  <c r="AQ92" i="27"/>
  <c r="BB92" i="27" s="1"/>
  <c r="AY92" i="27"/>
  <c r="AR92" i="27"/>
  <c r="AZ92" i="27"/>
  <c r="CA92" i="27"/>
  <c r="E92" i="27"/>
  <c r="AM92" i="27" s="1"/>
  <c r="AL92" i="27"/>
  <c r="BY92" i="27"/>
  <c r="CO91" i="27"/>
  <c r="BV91" i="27"/>
  <c r="AO91" i="27"/>
  <c r="AN91" i="27"/>
  <c r="CS92" i="27"/>
  <c r="A92" i="27"/>
  <c r="CT92" i="27"/>
  <c r="CP92" i="27"/>
  <c r="CR92" i="27"/>
  <c r="CH92" i="27"/>
  <c r="BJ92" i="27"/>
  <c r="CQ92" i="27"/>
  <c r="CL92" i="27"/>
  <c r="K92" i="27"/>
  <c r="L92" i="27" s="1"/>
  <c r="CG93" i="27"/>
  <c r="B93" i="27"/>
  <c r="BE93" i="27" s="1"/>
  <c r="I93" i="27"/>
  <c r="CI93" i="27"/>
  <c r="AP93" i="27"/>
  <c r="CK93" i="27"/>
  <c r="BC93" i="27"/>
  <c r="BH93" i="27" s="1"/>
  <c r="BQ93" i="27"/>
  <c r="CF93" i="27"/>
  <c r="CE93" i="27"/>
  <c r="H93" i="27"/>
  <c r="BD93" i="27"/>
  <c r="CJ93" i="27"/>
  <c r="CD93" i="27"/>
  <c r="CB93" i="27"/>
  <c r="CN93" i="27"/>
  <c r="G93" i="27"/>
  <c r="CC93" i="27"/>
  <c r="BA93" i="27"/>
  <c r="BZ93" i="27"/>
  <c r="C93" i="27"/>
  <c r="AK93" i="27" s="1"/>
  <c r="BK93" i="27"/>
  <c r="D94" i="27"/>
  <c r="BN94" i="27" s="1"/>
  <c r="AQ93" i="27" l="1"/>
  <c r="BB93" i="27" s="1"/>
  <c r="AY93" i="27"/>
  <c r="AR93" i="27"/>
  <c r="AZ93" i="27"/>
  <c r="AS93" i="27"/>
  <c r="AT93" i="27"/>
  <c r="AU93" i="27"/>
  <c r="AV93" i="27"/>
  <c r="AW93" i="27"/>
  <c r="AX93" i="27"/>
  <c r="BY93" i="27"/>
  <c r="J93" i="27"/>
  <c r="E93" i="27" s="1"/>
  <c r="AM93" i="27" s="1"/>
  <c r="CM93" i="27"/>
  <c r="BI93" i="27"/>
  <c r="BL93" i="27"/>
  <c r="BM93" i="27" s="1"/>
  <c r="CA93" i="27"/>
  <c r="AL93" i="27"/>
  <c r="K93" i="27"/>
  <c r="L93" i="27" s="1"/>
  <c r="CS93" i="27"/>
  <c r="CP93" i="27"/>
  <c r="CH93" i="27"/>
  <c r="BJ93" i="27"/>
  <c r="CT93" i="27"/>
  <c r="CQ93" i="27"/>
  <c r="A93" i="27"/>
  <c r="CR93" i="27"/>
  <c r="B94" i="27"/>
  <c r="BE94" i="27" s="1"/>
  <c r="BA94" i="27"/>
  <c r="CB94" i="27"/>
  <c r="BK94" i="27"/>
  <c r="CI94" i="27"/>
  <c r="CC94" i="27"/>
  <c r="CF94" i="27"/>
  <c r="AP94" i="27"/>
  <c r="CN94" i="27"/>
  <c r="BQ94" i="27"/>
  <c r="BZ94" i="27"/>
  <c r="D95" i="27"/>
  <c r="BN95" i="27" s="1"/>
  <c r="H94" i="27"/>
  <c r="CE94" i="27"/>
  <c r="CK94" i="27"/>
  <c r="I94" i="27"/>
  <c r="BD94" i="27"/>
  <c r="C94" i="27"/>
  <c r="J94" i="27" s="1"/>
  <c r="CD94" i="27"/>
  <c r="G94" i="27"/>
  <c r="CJ94" i="27"/>
  <c r="BC94" i="27"/>
  <c r="BH94" i="27" s="1"/>
  <c r="CG94" i="27"/>
  <c r="CL93" i="27"/>
  <c r="AN92" i="27"/>
  <c r="BV92" i="27"/>
  <c r="CO92" i="27"/>
  <c r="AO92" i="27"/>
  <c r="AW94" i="27" l="1"/>
  <c r="AX94" i="27"/>
  <c r="AQ94" i="27"/>
  <c r="BB94" i="27" s="1"/>
  <c r="AY94" i="27"/>
  <c r="AR94" i="27"/>
  <c r="AZ94" i="27"/>
  <c r="AS94" i="27"/>
  <c r="AT94" i="27"/>
  <c r="AU94" i="27"/>
  <c r="AV94" i="27"/>
  <c r="BL94" i="27"/>
  <c r="BM94" i="27" s="1"/>
  <c r="BI94" i="27"/>
  <c r="AK94" i="27"/>
  <c r="CA94" i="27"/>
  <c r="CM94" i="27"/>
  <c r="AL94" i="27"/>
  <c r="E94" i="27"/>
  <c r="AM94" i="27" s="1"/>
  <c r="B95" i="27"/>
  <c r="BE95" i="27" s="1"/>
  <c r="BQ95" i="27"/>
  <c r="CJ95" i="27"/>
  <c r="BZ95" i="27"/>
  <c r="CG95" i="27"/>
  <c r="D96" i="27"/>
  <c r="BN96" i="27" s="1"/>
  <c r="I95" i="27"/>
  <c r="H95" i="27"/>
  <c r="CB95" i="27"/>
  <c r="C95" i="27"/>
  <c r="J95" i="27" s="1"/>
  <c r="BK95" i="27"/>
  <c r="AP95" i="27"/>
  <c r="CD95" i="27"/>
  <c r="CK95" i="27"/>
  <c r="BC95" i="27"/>
  <c r="BH95" i="27" s="1"/>
  <c r="CE95" i="27"/>
  <c r="BA95" i="27"/>
  <c r="CC95" i="27"/>
  <c r="G95" i="27"/>
  <c r="BD95" i="27"/>
  <c r="CN95" i="27"/>
  <c r="CI95" i="27"/>
  <c r="CF95" i="27"/>
  <c r="AN93" i="27"/>
  <c r="BY94" i="27"/>
  <c r="K94" i="27"/>
  <c r="L94" i="27" s="1"/>
  <c r="CS94" i="27"/>
  <c r="A94" i="27"/>
  <c r="CP94" i="27"/>
  <c r="BJ94" i="27"/>
  <c r="CH94" i="27"/>
  <c r="CT94" i="27"/>
  <c r="CQ94" i="27"/>
  <c r="CR94" i="27"/>
  <c r="CL94" i="27"/>
  <c r="CO93" i="27"/>
  <c r="AO93" i="27"/>
  <c r="BV93" i="27"/>
  <c r="AK95" i="27" l="1"/>
  <c r="AU95" i="27"/>
  <c r="AV95" i="27"/>
  <c r="AW95" i="27"/>
  <c r="AX95" i="27"/>
  <c r="AQ95" i="27"/>
  <c r="BB95" i="27" s="1"/>
  <c r="AY95" i="27"/>
  <c r="AR95" i="27"/>
  <c r="AZ95" i="27"/>
  <c r="AS95" i="27"/>
  <c r="AT95" i="27"/>
  <c r="CM95" i="27"/>
  <c r="BI95" i="27"/>
  <c r="BL95" i="27"/>
  <c r="BM95" i="27" s="1"/>
  <c r="AL95" i="27"/>
  <c r="CA95" i="27"/>
  <c r="B96" i="27"/>
  <c r="BE96" i="27" s="1"/>
  <c r="BD96" i="27"/>
  <c r="BZ96" i="27"/>
  <c r="CF96" i="27"/>
  <c r="AP96" i="27"/>
  <c r="CJ96" i="27"/>
  <c r="CD96" i="27"/>
  <c r="BA96" i="27"/>
  <c r="D97" i="27"/>
  <c r="BN97" i="27" s="1"/>
  <c r="I96" i="27"/>
  <c r="CB96" i="27"/>
  <c r="CC96" i="27"/>
  <c r="C96" i="27"/>
  <c r="J96" i="27" s="1"/>
  <c r="H96" i="27"/>
  <c r="CN96" i="27"/>
  <c r="CI96" i="27"/>
  <c r="G96" i="27"/>
  <c r="CE96" i="27"/>
  <c r="BC96" i="27"/>
  <c r="BH96" i="27" s="1"/>
  <c r="BK96" i="27"/>
  <c r="BQ96" i="27"/>
  <c r="CG96" i="27"/>
  <c r="CK96" i="27"/>
  <c r="AO94" i="27"/>
  <c r="CO94" i="27"/>
  <c r="BV94" i="27"/>
  <c r="BY95" i="27"/>
  <c r="E95" i="27"/>
  <c r="AM95" i="27" s="1"/>
  <c r="CS95" i="27"/>
  <c r="CQ95" i="27"/>
  <c r="CP95" i="27"/>
  <c r="CH95" i="27"/>
  <c r="CT95" i="27"/>
  <c r="CR95" i="27"/>
  <c r="A95" i="27"/>
  <c r="BJ95" i="27"/>
  <c r="CL95" i="27"/>
  <c r="AN94" i="27"/>
  <c r="K95" i="27"/>
  <c r="L95" i="27" s="1"/>
  <c r="CM96" i="27" l="1"/>
  <c r="BI96" i="27"/>
  <c r="BL96" i="27"/>
  <c r="BM96" i="27" s="1"/>
  <c r="AS96" i="27"/>
  <c r="AT96" i="27"/>
  <c r="AU96" i="27"/>
  <c r="AV96" i="27"/>
  <c r="AW96" i="27"/>
  <c r="AX96" i="27"/>
  <c r="AQ96" i="27"/>
  <c r="BB96" i="27" s="1"/>
  <c r="AY96" i="27"/>
  <c r="AR96" i="27"/>
  <c r="AZ96" i="27"/>
  <c r="AK96" i="27"/>
  <c r="K96" i="27"/>
  <c r="L96" i="27" s="1"/>
  <c r="CA96" i="27"/>
  <c r="AL96" i="27"/>
  <c r="BY96" i="27"/>
  <c r="CO95" i="27"/>
  <c r="AO95" i="27"/>
  <c r="BV95" i="27"/>
  <c r="E96" i="27"/>
  <c r="AM96" i="27" s="1"/>
  <c r="AN95" i="27"/>
  <c r="CS96" i="27"/>
  <c r="A96" i="27"/>
  <c r="CT96" i="27"/>
  <c r="CR96" i="27"/>
  <c r="CP96" i="27"/>
  <c r="CH96" i="27"/>
  <c r="BJ96" i="27"/>
  <c r="CQ96" i="27"/>
  <c r="B97" i="27"/>
  <c r="BE97" i="27" s="1"/>
  <c r="D98" i="27"/>
  <c r="BN98" i="27" s="1"/>
  <c r="CD97" i="27"/>
  <c r="BD97" i="27"/>
  <c r="CF97" i="27"/>
  <c r="BQ97" i="27"/>
  <c r="BA97" i="27"/>
  <c r="BC97" i="27"/>
  <c r="BH97" i="27" s="1"/>
  <c r="BK97" i="27"/>
  <c r="CJ97" i="27"/>
  <c r="AP97" i="27"/>
  <c r="CK97" i="27"/>
  <c r="CG97" i="27"/>
  <c r="CI97" i="27"/>
  <c r="I97" i="27"/>
  <c r="CN97" i="27"/>
  <c r="CC97" i="27"/>
  <c r="G97" i="27"/>
  <c r="CE97" i="27"/>
  <c r="BZ97" i="27"/>
  <c r="C97" i="27"/>
  <c r="J97" i="27" s="1"/>
  <c r="H97" i="27"/>
  <c r="CB97" i="27"/>
  <c r="CL96" i="27"/>
  <c r="AQ97" i="27" l="1"/>
  <c r="BB97" i="27" s="1"/>
  <c r="AY97" i="27"/>
  <c r="AR97" i="27"/>
  <c r="AZ97" i="27"/>
  <c r="AS97" i="27"/>
  <c r="AT97" i="27"/>
  <c r="AU97" i="27"/>
  <c r="AV97" i="27"/>
  <c r="AW97" i="27"/>
  <c r="AX97" i="27"/>
  <c r="AK97" i="27"/>
  <c r="BI97" i="27"/>
  <c r="BL97" i="27"/>
  <c r="BM97" i="27" s="1"/>
  <c r="CA97" i="27"/>
  <c r="CM97" i="27"/>
  <c r="K97" i="27"/>
  <c r="L97" i="27" s="1"/>
  <c r="BY97" i="27"/>
  <c r="AN96" i="27"/>
  <c r="B98" i="27"/>
  <c r="BE98" i="27" s="1"/>
  <c r="CG98" i="27"/>
  <c r="C98" i="27"/>
  <c r="J98" i="27" s="1"/>
  <c r="CD98" i="27"/>
  <c r="D99" i="27"/>
  <c r="BN99" i="27" s="1"/>
  <c r="I98" i="27"/>
  <c r="CK98" i="27"/>
  <c r="CE98" i="27"/>
  <c r="CB98" i="27"/>
  <c r="BQ98" i="27"/>
  <c r="BC98" i="27"/>
  <c r="BH98" i="27" s="1"/>
  <c r="BD98" i="27"/>
  <c r="BA98" i="27"/>
  <c r="H98" i="27"/>
  <c r="AP98" i="27"/>
  <c r="CC98" i="27"/>
  <c r="CJ98" i="27"/>
  <c r="CI98" i="27"/>
  <c r="BZ98" i="27"/>
  <c r="CN98" i="27"/>
  <c r="BK98" i="27"/>
  <c r="G98" i="27"/>
  <c r="CF98" i="27"/>
  <c r="CS97" i="27"/>
  <c r="BJ97" i="27"/>
  <c r="CT97" i="27"/>
  <c r="CR97" i="27"/>
  <c r="A97" i="27"/>
  <c r="CH97" i="27"/>
  <c r="CQ97" i="27"/>
  <c r="CP97" i="27"/>
  <c r="CL97" i="27"/>
  <c r="BV96" i="27"/>
  <c r="AO96" i="27"/>
  <c r="CO96" i="27"/>
  <c r="AL97" i="27"/>
  <c r="E97" i="27"/>
  <c r="AM97" i="27" s="1"/>
  <c r="BL98" i="27" l="1"/>
  <c r="BM98" i="27" s="1"/>
  <c r="BI98" i="27"/>
  <c r="AW98" i="27"/>
  <c r="AX98" i="27"/>
  <c r="AQ98" i="27"/>
  <c r="BB98" i="27" s="1"/>
  <c r="AY98" i="27"/>
  <c r="AR98" i="27"/>
  <c r="AZ98" i="27"/>
  <c r="AS98" i="27"/>
  <c r="AT98" i="27"/>
  <c r="AU98" i="27"/>
  <c r="AV98" i="27"/>
  <c r="AK98" i="27"/>
  <c r="CA98" i="27"/>
  <c r="CM98" i="27"/>
  <c r="BY98" i="27"/>
  <c r="BV97" i="27"/>
  <c r="CO97" i="27"/>
  <c r="AO97" i="27"/>
  <c r="AL98" i="27"/>
  <c r="E98" i="27"/>
  <c r="AM98" i="27" s="1"/>
  <c r="CS98" i="27"/>
  <c r="CT98" i="27"/>
  <c r="CH98" i="27"/>
  <c r="CP98" i="27"/>
  <c r="A98" i="27"/>
  <c r="CQ98" i="27"/>
  <c r="BJ98" i="27"/>
  <c r="CR98" i="27"/>
  <c r="K98" i="27"/>
  <c r="L98" i="27" s="1"/>
  <c r="CL98" i="27"/>
  <c r="AN97" i="27"/>
  <c r="B99" i="27"/>
  <c r="BE99" i="27" s="1"/>
  <c r="CE99" i="27"/>
  <c r="BA99" i="27"/>
  <c r="CB99" i="27"/>
  <c r="CN99" i="27"/>
  <c r="CG99" i="27"/>
  <c r="G99" i="27"/>
  <c r="CD99" i="27"/>
  <c r="CC99" i="27"/>
  <c r="BZ99" i="27"/>
  <c r="C99" i="27"/>
  <c r="J99" i="27" s="1"/>
  <c r="BQ99" i="27"/>
  <c r="CF99" i="27"/>
  <c r="D100" i="27"/>
  <c r="BN100" i="27" s="1"/>
  <c r="CJ99" i="27"/>
  <c r="BD99" i="27"/>
  <c r="BK99" i="27"/>
  <c r="CI99" i="27"/>
  <c r="AP99" i="27"/>
  <c r="H99" i="27"/>
  <c r="I99" i="27"/>
  <c r="BC99" i="27"/>
  <c r="BH99" i="27" s="1"/>
  <c r="CK99" i="27"/>
  <c r="AU99" i="27" l="1"/>
  <c r="AV99" i="27"/>
  <c r="AW99" i="27"/>
  <c r="AX99" i="27"/>
  <c r="AQ99" i="27"/>
  <c r="BB99" i="27" s="1"/>
  <c r="AY99" i="27"/>
  <c r="AR99" i="27"/>
  <c r="AZ99" i="27"/>
  <c r="AS99" i="27"/>
  <c r="AT99" i="27"/>
  <c r="AK99" i="27"/>
  <c r="BL99" i="27"/>
  <c r="BM99" i="27" s="1"/>
  <c r="BI99" i="27"/>
  <c r="CA99" i="27"/>
  <c r="CM99" i="27"/>
  <c r="K99" i="27"/>
  <c r="L99" i="27" s="1"/>
  <c r="BY99" i="27"/>
  <c r="AL99" i="27"/>
  <c r="CS99" i="27"/>
  <c r="CT99" i="27"/>
  <c r="CH99" i="27"/>
  <c r="CQ99" i="27"/>
  <c r="CP99" i="27"/>
  <c r="CR99" i="27"/>
  <c r="A99" i="27"/>
  <c r="BJ99" i="27"/>
  <c r="B100" i="27"/>
  <c r="BE100" i="27" s="1"/>
  <c r="BQ100" i="27"/>
  <c r="C100" i="27"/>
  <c r="J100" i="27" s="1"/>
  <c r="D101" i="27"/>
  <c r="BN101" i="27" s="1"/>
  <c r="I100" i="27"/>
  <c r="CG100" i="27"/>
  <c r="AP100" i="27"/>
  <c r="BZ100" i="27"/>
  <c r="CE100" i="27"/>
  <c r="CJ100" i="27"/>
  <c r="BD100" i="27"/>
  <c r="BC100" i="27"/>
  <c r="BH100" i="27" s="1"/>
  <c r="CN100" i="27"/>
  <c r="CD100" i="27"/>
  <c r="H100" i="27"/>
  <c r="G100" i="27"/>
  <c r="CB100" i="27"/>
  <c r="CC100" i="27"/>
  <c r="CK100" i="27"/>
  <c r="BA100" i="27"/>
  <c r="CI100" i="27"/>
  <c r="BK100" i="27"/>
  <c r="CF100" i="27"/>
  <c r="CL99" i="27"/>
  <c r="AN98" i="27"/>
  <c r="AO98" i="27"/>
  <c r="CO98" i="27"/>
  <c r="BV98" i="27"/>
  <c r="E99" i="27"/>
  <c r="AM99" i="27" s="1"/>
  <c r="BL100" i="27" l="1"/>
  <c r="BM100" i="27" s="1"/>
  <c r="BI100" i="27"/>
  <c r="AS100" i="27"/>
  <c r="AT100" i="27"/>
  <c r="AU100" i="27"/>
  <c r="AV100" i="27"/>
  <c r="AW100" i="27"/>
  <c r="AX100" i="27"/>
  <c r="AQ100" i="27"/>
  <c r="BB100" i="27" s="1"/>
  <c r="AY100" i="27"/>
  <c r="AR100" i="27"/>
  <c r="AZ100" i="27"/>
  <c r="AK100" i="27"/>
  <c r="CA100" i="27"/>
  <c r="CM100" i="27"/>
  <c r="AN99" i="27"/>
  <c r="AL100" i="27"/>
  <c r="E100" i="27"/>
  <c r="AM100" i="27" s="1"/>
  <c r="BY100" i="27"/>
  <c r="CS100" i="27"/>
  <c r="A100" i="27"/>
  <c r="CT100" i="27"/>
  <c r="BJ100" i="27"/>
  <c r="CR100" i="27"/>
  <c r="CQ100" i="27"/>
  <c r="CH100" i="27"/>
  <c r="CP100" i="27"/>
  <c r="CL100" i="27"/>
  <c r="K100" i="27"/>
  <c r="L100" i="27" s="1"/>
  <c r="BV99" i="27"/>
  <c r="AO99" i="27"/>
  <c r="CO99" i="27"/>
  <c r="B101" i="27"/>
  <c r="BE101" i="27" s="1"/>
  <c r="CB101" i="27"/>
  <c r="D102" i="27"/>
  <c r="BN102" i="27" s="1"/>
  <c r="CD101" i="27"/>
  <c r="BQ101" i="27"/>
  <c r="BA101" i="27"/>
  <c r="CJ101" i="27"/>
  <c r="BC101" i="27"/>
  <c r="BH101" i="27" s="1"/>
  <c r="BD101" i="27"/>
  <c r="G101" i="27"/>
  <c r="CC101" i="27"/>
  <c r="CN101" i="27"/>
  <c r="I101" i="27"/>
  <c r="H101" i="27"/>
  <c r="CG101" i="27"/>
  <c r="AP101" i="27"/>
  <c r="C101" i="27"/>
  <c r="J101" i="27" s="1"/>
  <c r="CI101" i="27"/>
  <c r="CK101" i="27"/>
  <c r="BK101" i="27"/>
  <c r="BZ101" i="27"/>
  <c r="CF101" i="27"/>
  <c r="CE101" i="27"/>
  <c r="AQ101" i="27" l="1"/>
  <c r="BB101" i="27" s="1"/>
  <c r="AY101" i="27"/>
  <c r="AR101" i="27"/>
  <c r="AZ101" i="27"/>
  <c r="AS101" i="27"/>
  <c r="AT101" i="27"/>
  <c r="AU101" i="27"/>
  <c r="AV101" i="27"/>
  <c r="AW101" i="27"/>
  <c r="AX101" i="27"/>
  <c r="BI101" i="27"/>
  <c r="BL101" i="27"/>
  <c r="BM101" i="27" s="1"/>
  <c r="AK101" i="27"/>
  <c r="CA101" i="27"/>
  <c r="CM101" i="27"/>
  <c r="K101" i="27"/>
  <c r="L101" i="27" s="1"/>
  <c r="BY101" i="27"/>
  <c r="AN100" i="27"/>
  <c r="AL101" i="27"/>
  <c r="B102" i="27"/>
  <c r="BE102" i="27" s="1"/>
  <c r="BZ102" i="27"/>
  <c r="I102" i="27"/>
  <c r="H102" i="27"/>
  <c r="CE102" i="27"/>
  <c r="C102" i="27"/>
  <c r="J102" i="27" s="1"/>
  <c r="BC102" i="27"/>
  <c r="BH102" i="27" s="1"/>
  <c r="G102" i="27"/>
  <c r="CG102" i="27"/>
  <c r="BA102" i="27"/>
  <c r="CF102" i="27"/>
  <c r="AP102" i="27"/>
  <c r="CK102" i="27"/>
  <c r="CD102" i="27"/>
  <c r="BK102" i="27"/>
  <c r="CC102" i="27"/>
  <c r="CB102" i="27"/>
  <c r="CN102" i="27"/>
  <c r="CI102" i="27"/>
  <c r="BD102" i="27"/>
  <c r="BQ102" i="27"/>
  <c r="D103" i="27"/>
  <c r="BN103" i="27" s="1"/>
  <c r="CJ102" i="27"/>
  <c r="E101" i="27"/>
  <c r="AM101" i="27" s="1"/>
  <c r="CS101" i="27"/>
  <c r="CR101" i="27"/>
  <c r="CP101" i="27"/>
  <c r="CH101" i="27"/>
  <c r="A101" i="27"/>
  <c r="CQ101" i="27"/>
  <c r="BJ101" i="27"/>
  <c r="CT101" i="27"/>
  <c r="CL101" i="27"/>
  <c r="BV100" i="27"/>
  <c r="AO100" i="27"/>
  <c r="CO100" i="27"/>
  <c r="AW102" i="27" l="1"/>
  <c r="AX102" i="27"/>
  <c r="AQ102" i="27"/>
  <c r="BB102" i="27" s="1"/>
  <c r="AY102" i="27"/>
  <c r="AR102" i="27"/>
  <c r="AZ102" i="27"/>
  <c r="AS102" i="27"/>
  <c r="AT102" i="27"/>
  <c r="AU102" i="27"/>
  <c r="AV102" i="27"/>
  <c r="BL102" i="27"/>
  <c r="BM102" i="27" s="1"/>
  <c r="BI102" i="27"/>
  <c r="AK102" i="27"/>
  <c r="CA102" i="27"/>
  <c r="CM102" i="27"/>
  <c r="BY102" i="27"/>
  <c r="AL102" i="27"/>
  <c r="K102" i="27"/>
  <c r="L102" i="27" s="1"/>
  <c r="CS102" i="27"/>
  <c r="BJ102" i="27"/>
  <c r="CT102" i="27"/>
  <c r="CR102" i="27"/>
  <c r="CH102" i="27"/>
  <c r="A102" i="27"/>
  <c r="CP102" i="27"/>
  <c r="CQ102" i="27"/>
  <c r="B103" i="27"/>
  <c r="BE103" i="27" s="1"/>
  <c r="BQ103" i="27"/>
  <c r="CF103" i="27"/>
  <c r="BA103" i="27"/>
  <c r="C103" i="27"/>
  <c r="J103" i="27" s="1"/>
  <c r="BK103" i="27"/>
  <c r="D104" i="27"/>
  <c r="BN104" i="27" s="1"/>
  <c r="CK103" i="27"/>
  <c r="CJ103" i="27"/>
  <c r="CC103" i="27"/>
  <c r="CG103" i="27"/>
  <c r="I103" i="27"/>
  <c r="BD103" i="27"/>
  <c r="CN103" i="27"/>
  <c r="CE103" i="27"/>
  <c r="CD103" i="27"/>
  <c r="CI103" i="27"/>
  <c r="G103" i="27"/>
  <c r="H103" i="27"/>
  <c r="CB103" i="27"/>
  <c r="BZ103" i="27"/>
  <c r="BC103" i="27"/>
  <c r="BH103" i="27" s="1"/>
  <c r="AP103" i="27"/>
  <c r="CL102" i="27"/>
  <c r="AN101" i="27"/>
  <c r="E102" i="27"/>
  <c r="AM102" i="27" s="1"/>
  <c r="BV101" i="27"/>
  <c r="CO101" i="27"/>
  <c r="AO101" i="27"/>
  <c r="BI103" i="27" l="1"/>
  <c r="BL103" i="27"/>
  <c r="BM103" i="27" s="1"/>
  <c r="AK103" i="27"/>
  <c r="AU103" i="27"/>
  <c r="AV103" i="27"/>
  <c r="AW103" i="27"/>
  <c r="AX103" i="27"/>
  <c r="AQ103" i="27"/>
  <c r="BB103" i="27" s="1"/>
  <c r="AY103" i="27"/>
  <c r="AR103" i="27"/>
  <c r="AZ103" i="27"/>
  <c r="AS103" i="27"/>
  <c r="AT103" i="27"/>
  <c r="CA103" i="27"/>
  <c r="CM103" i="27"/>
  <c r="AL103" i="27"/>
  <c r="BY103" i="27"/>
  <c r="AN102" i="27"/>
  <c r="CS103" i="27"/>
  <c r="CT103" i="27"/>
  <c r="BJ103" i="27"/>
  <c r="CQ103" i="27"/>
  <c r="CR103" i="27"/>
  <c r="A103" i="27"/>
  <c r="CH103" i="27"/>
  <c r="CP103" i="27"/>
  <c r="B104" i="27"/>
  <c r="BE104" i="27" s="1"/>
  <c r="CF104" i="27"/>
  <c r="BK104" i="27"/>
  <c r="CD104" i="27"/>
  <c r="BZ104" i="27"/>
  <c r="CG104" i="27"/>
  <c r="CE104" i="27"/>
  <c r="BA104" i="27"/>
  <c r="CK104" i="27"/>
  <c r="CJ104" i="27"/>
  <c r="AP104" i="27"/>
  <c r="CI104" i="27"/>
  <c r="CB104" i="27"/>
  <c r="G104" i="27"/>
  <c r="BD104" i="27"/>
  <c r="C104" i="27"/>
  <c r="J104" i="27" s="1"/>
  <c r="BC104" i="27"/>
  <c r="BH104" i="27" s="1"/>
  <c r="I104" i="27"/>
  <c r="D105" i="27"/>
  <c r="BN105" i="27" s="1"/>
  <c r="BQ104" i="27"/>
  <c r="CN104" i="27"/>
  <c r="H104" i="27"/>
  <c r="CC104" i="27"/>
  <c r="CL103" i="27"/>
  <c r="K103" i="27"/>
  <c r="L103" i="27" s="1"/>
  <c r="E103" i="27"/>
  <c r="AM103" i="27" s="1"/>
  <c r="BV102" i="27"/>
  <c r="CO102" i="27"/>
  <c r="AO102" i="27"/>
  <c r="BI104" i="27" l="1"/>
  <c r="BL104" i="27"/>
  <c r="BM104" i="27" s="1"/>
  <c r="AS104" i="27"/>
  <c r="AT104" i="27"/>
  <c r="AU104" i="27"/>
  <c r="AV104" i="27"/>
  <c r="AW104" i="27"/>
  <c r="AX104" i="27"/>
  <c r="AQ104" i="27"/>
  <c r="BB104" i="27" s="1"/>
  <c r="AY104" i="27"/>
  <c r="AZ104" i="27"/>
  <c r="AR104" i="27"/>
  <c r="AK104" i="27"/>
  <c r="CA104" i="27"/>
  <c r="CM104" i="27"/>
  <c r="AL104" i="27"/>
  <c r="CS104" i="27"/>
  <c r="CT104" i="27"/>
  <c r="CR104" i="27"/>
  <c r="A104" i="27"/>
  <c r="BJ104" i="27"/>
  <c r="CQ104" i="27"/>
  <c r="CP104" i="27"/>
  <c r="CH104" i="27"/>
  <c r="CL104" i="27"/>
  <c r="AN103" i="27"/>
  <c r="B105" i="27"/>
  <c r="BE105" i="27" s="1"/>
  <c r="CF105" i="27"/>
  <c r="BC105" i="27"/>
  <c r="BH105" i="27" s="1"/>
  <c r="H105" i="27"/>
  <c r="BA105" i="27"/>
  <c r="G105" i="27"/>
  <c r="CD105" i="27"/>
  <c r="CC105" i="27"/>
  <c r="I105" i="27"/>
  <c r="D106" i="27"/>
  <c r="BN106" i="27" s="1"/>
  <c r="AP105" i="27"/>
  <c r="BZ105" i="27"/>
  <c r="CI105" i="27"/>
  <c r="CE105" i="27"/>
  <c r="BK105" i="27"/>
  <c r="BQ105" i="27"/>
  <c r="CN105" i="27"/>
  <c r="CJ105" i="27"/>
  <c r="CK105" i="27"/>
  <c r="CG105" i="27"/>
  <c r="C105" i="27"/>
  <c r="J105" i="27" s="1"/>
  <c r="CB105" i="27"/>
  <c r="BD105" i="27"/>
  <c r="BY104" i="27"/>
  <c r="E104" i="27"/>
  <c r="AM104" i="27" s="1"/>
  <c r="K104" i="27"/>
  <c r="L104" i="27" s="1"/>
  <c r="CO103" i="27"/>
  <c r="AO103" i="27"/>
  <c r="BV103" i="27"/>
  <c r="AK105" i="27" l="1"/>
  <c r="BI105" i="27"/>
  <c r="BL105" i="27"/>
  <c r="BM105" i="27" s="1"/>
  <c r="AQ105" i="27"/>
  <c r="BB105" i="27" s="1"/>
  <c r="AY105" i="27"/>
  <c r="AR105" i="27"/>
  <c r="AZ105" i="27"/>
  <c r="AS105" i="27"/>
  <c r="AT105" i="27"/>
  <c r="AU105" i="27"/>
  <c r="AV105" i="27"/>
  <c r="AW105" i="27"/>
  <c r="AX105" i="27"/>
  <c r="CA105" i="27"/>
  <c r="CM105" i="27"/>
  <c r="K105" i="27"/>
  <c r="L105" i="27" s="1"/>
  <c r="E105" i="27"/>
  <c r="AM105" i="27" s="1"/>
  <c r="AL105" i="27"/>
  <c r="BV104" i="27"/>
  <c r="CO104" i="27"/>
  <c r="AO104" i="27"/>
  <c r="BY105" i="27"/>
  <c r="B106" i="27"/>
  <c r="BE106" i="27" s="1"/>
  <c r="CK106" i="27"/>
  <c r="AP106" i="27"/>
  <c r="CE106" i="27"/>
  <c r="CI106" i="27"/>
  <c r="H106" i="27"/>
  <c r="BA106" i="27"/>
  <c r="CJ106" i="27"/>
  <c r="G106" i="27"/>
  <c r="CG106" i="27"/>
  <c r="BK106" i="27"/>
  <c r="BZ106" i="27"/>
  <c r="CF106" i="27"/>
  <c r="D107" i="27"/>
  <c r="BN107" i="27" s="1"/>
  <c r="BC106" i="27"/>
  <c r="BH106" i="27" s="1"/>
  <c r="CN106" i="27"/>
  <c r="CD106" i="27"/>
  <c r="CC106" i="27"/>
  <c r="C106" i="27"/>
  <c r="J106" i="27" s="1"/>
  <c r="I106" i="27"/>
  <c r="BD106" i="27"/>
  <c r="CB106" i="27"/>
  <c r="BQ106" i="27"/>
  <c r="CS105" i="27"/>
  <c r="CQ105" i="27"/>
  <c r="CT105" i="27"/>
  <c r="CP105" i="27"/>
  <c r="A105" i="27"/>
  <c r="CR105" i="27"/>
  <c r="CH105" i="27"/>
  <c r="BJ105" i="27"/>
  <c r="CL105" i="27"/>
  <c r="AN104" i="27"/>
  <c r="BL106" i="27" l="1"/>
  <c r="BM106" i="27" s="1"/>
  <c r="BI106" i="27"/>
  <c r="AW106" i="27"/>
  <c r="AX106" i="27"/>
  <c r="AQ106" i="27"/>
  <c r="BB106" i="27" s="1"/>
  <c r="AY106" i="27"/>
  <c r="AR106" i="27"/>
  <c r="AZ106" i="27"/>
  <c r="AS106" i="27"/>
  <c r="AT106" i="27"/>
  <c r="AU106" i="27"/>
  <c r="AV106" i="27"/>
  <c r="AK106" i="27"/>
  <c r="CA106" i="27"/>
  <c r="CM106" i="27"/>
  <c r="K106" i="27"/>
  <c r="L106" i="27" s="1"/>
  <c r="E106" i="27"/>
  <c r="AM106" i="27" s="1"/>
  <c r="AO105" i="27"/>
  <c r="CO105" i="27"/>
  <c r="BV105" i="27"/>
  <c r="B107" i="27"/>
  <c r="BE107" i="27" s="1"/>
  <c r="BC107" i="27"/>
  <c r="BH107" i="27" s="1"/>
  <c r="I107" i="27"/>
  <c r="CD107" i="27"/>
  <c r="BA107" i="27"/>
  <c r="G107" i="27"/>
  <c r="CG107" i="27"/>
  <c r="CN107" i="27"/>
  <c r="H107" i="27"/>
  <c r="CJ107" i="27"/>
  <c r="CC107" i="27"/>
  <c r="AP107" i="27"/>
  <c r="CF107" i="27"/>
  <c r="BQ107" i="27"/>
  <c r="C107" i="27"/>
  <c r="J107" i="27" s="1"/>
  <c r="CB107" i="27"/>
  <c r="BK107" i="27"/>
  <c r="CK107" i="27"/>
  <c r="BD107" i="27"/>
  <c r="D108" i="27"/>
  <c r="BN108" i="27" s="1"/>
  <c r="CI107" i="27"/>
  <c r="CE107" i="27"/>
  <c r="BZ107" i="27"/>
  <c r="AL106" i="27"/>
  <c r="CS106" i="27"/>
  <c r="A106" i="27"/>
  <c r="CT106" i="27"/>
  <c r="CH106" i="27"/>
  <c r="CR106" i="27"/>
  <c r="CP106" i="27"/>
  <c r="BJ106" i="27"/>
  <c r="CQ106" i="27"/>
  <c r="BY106" i="27"/>
  <c r="CL106" i="27"/>
  <c r="AN105" i="27"/>
  <c r="BL107" i="27" l="1"/>
  <c r="BM107" i="27" s="1"/>
  <c r="BI107" i="27"/>
  <c r="AU107" i="27"/>
  <c r="AV107" i="27"/>
  <c r="AW107" i="27"/>
  <c r="AX107" i="27"/>
  <c r="AQ107" i="27"/>
  <c r="BB107" i="27" s="1"/>
  <c r="AY107" i="27"/>
  <c r="AR107" i="27"/>
  <c r="AZ107" i="27"/>
  <c r="AS107" i="27"/>
  <c r="AT107" i="27"/>
  <c r="AK107" i="27"/>
  <c r="CA107" i="27"/>
  <c r="CM107" i="27"/>
  <c r="K107" i="27"/>
  <c r="L107" i="27" s="1"/>
  <c r="CS107" i="27"/>
  <c r="A107" i="27"/>
  <c r="CT107" i="27"/>
  <c r="BJ107" i="27"/>
  <c r="CQ107" i="27"/>
  <c r="CP107" i="27"/>
  <c r="CR107" i="27"/>
  <c r="CH107" i="27"/>
  <c r="CL107" i="27"/>
  <c r="AN106" i="27"/>
  <c r="E107" i="27"/>
  <c r="AM107" i="27" s="1"/>
  <c r="B108" i="27"/>
  <c r="BE108" i="27" s="1"/>
  <c r="BQ108" i="27"/>
  <c r="G108" i="27"/>
  <c r="BZ108" i="27"/>
  <c r="CB108" i="27"/>
  <c r="CK108" i="27"/>
  <c r="D109" i="27"/>
  <c r="BN109" i="27" s="1"/>
  <c r="CE108" i="27"/>
  <c r="BD108" i="27"/>
  <c r="C108" i="27"/>
  <c r="J108" i="27" s="1"/>
  <c r="CN108" i="27"/>
  <c r="CJ108" i="27"/>
  <c r="CF108" i="27"/>
  <c r="CC108" i="27"/>
  <c r="I108" i="27"/>
  <c r="CD108" i="27"/>
  <c r="BC108" i="27"/>
  <c r="BH108" i="27" s="1"/>
  <c r="BK108" i="27"/>
  <c r="CG108" i="27"/>
  <c r="AP108" i="27"/>
  <c r="CI108" i="27"/>
  <c r="BA108" i="27"/>
  <c r="H108" i="27"/>
  <c r="AL107" i="27"/>
  <c r="BY107" i="27"/>
  <c r="AO106" i="27"/>
  <c r="BV106" i="27"/>
  <c r="CO106" i="27"/>
  <c r="BL108" i="27" l="1"/>
  <c r="BM108" i="27" s="1"/>
  <c r="BI108" i="27"/>
  <c r="AS108" i="27"/>
  <c r="AT108" i="27"/>
  <c r="AU108" i="27"/>
  <c r="AV108" i="27"/>
  <c r="AW108" i="27"/>
  <c r="AX108" i="27"/>
  <c r="AQ108" i="27"/>
  <c r="BB108" i="27" s="1"/>
  <c r="AY108" i="27"/>
  <c r="AR108" i="27"/>
  <c r="AZ108" i="27"/>
  <c r="AK108" i="27"/>
  <c r="CA108" i="27"/>
  <c r="CM108" i="27"/>
  <c r="E108" i="27"/>
  <c r="AM108" i="27" s="1"/>
  <c r="K108" i="27"/>
  <c r="L108" i="27" s="1"/>
  <c r="B109" i="27"/>
  <c r="BE109" i="27" s="1"/>
  <c r="D110" i="27"/>
  <c r="BN110" i="27" s="1"/>
  <c r="CN109" i="27"/>
  <c r="CK109" i="27"/>
  <c r="BZ109" i="27"/>
  <c r="CG109" i="27"/>
  <c r="CC109" i="27"/>
  <c r="AP109" i="27"/>
  <c r="CI109" i="27"/>
  <c r="BQ109" i="27"/>
  <c r="C109" i="27"/>
  <c r="J109" i="27" s="1"/>
  <c r="G109" i="27"/>
  <c r="CJ109" i="27"/>
  <c r="CD109" i="27"/>
  <c r="CB109" i="27"/>
  <c r="I109" i="27"/>
  <c r="BA109" i="27"/>
  <c r="CE109" i="27"/>
  <c r="BK109" i="27"/>
  <c r="BD109" i="27"/>
  <c r="CF109" i="27"/>
  <c r="BC109" i="27"/>
  <c r="BH109" i="27" s="1"/>
  <c r="H109" i="27"/>
  <c r="BY108" i="27"/>
  <c r="AN107" i="27"/>
  <c r="AL108" i="27"/>
  <c r="BV107" i="27"/>
  <c r="CO107" i="27"/>
  <c r="AO107" i="27"/>
  <c r="CS108" i="27"/>
  <c r="CT108" i="27"/>
  <c r="CR108" i="27"/>
  <c r="CQ108" i="27"/>
  <c r="CP108" i="27"/>
  <c r="A108" i="27"/>
  <c r="BJ108" i="27"/>
  <c r="CH108" i="27"/>
  <c r="CL108" i="27"/>
  <c r="AQ109" i="27" l="1"/>
  <c r="BB109" i="27" s="1"/>
  <c r="AY109" i="27"/>
  <c r="AR109" i="27"/>
  <c r="AZ109" i="27"/>
  <c r="AS109" i="27"/>
  <c r="AT109" i="27"/>
  <c r="AU109" i="27"/>
  <c r="AV109" i="27"/>
  <c r="AW109" i="27"/>
  <c r="AX109" i="27"/>
  <c r="BI109" i="27"/>
  <c r="BL109" i="27"/>
  <c r="BM109" i="27" s="1"/>
  <c r="AK109" i="27"/>
  <c r="CA109" i="27"/>
  <c r="CM109" i="27"/>
  <c r="K109" i="27"/>
  <c r="L109" i="27" s="1"/>
  <c r="AL109" i="27"/>
  <c r="E109" i="27"/>
  <c r="AM109" i="27" s="1"/>
  <c r="AO108" i="27"/>
  <c r="CO108" i="27"/>
  <c r="BV108" i="27"/>
  <c r="AN108" i="27"/>
  <c r="B110" i="27"/>
  <c r="BE110" i="27" s="1"/>
  <c r="CJ110" i="27"/>
  <c r="CC110" i="27"/>
  <c r="BC110" i="27"/>
  <c r="BH110" i="27" s="1"/>
  <c r="CG110" i="27"/>
  <c r="I110" i="27"/>
  <c r="H110" i="27"/>
  <c r="CF110" i="27"/>
  <c r="AP110" i="27"/>
  <c r="C110" i="27"/>
  <c r="J110" i="27" s="1"/>
  <c r="G110" i="27"/>
  <c r="CB110" i="27"/>
  <c r="CN110" i="27"/>
  <c r="BA110" i="27"/>
  <c r="CK110" i="27"/>
  <c r="BZ110" i="27"/>
  <c r="CI110" i="27"/>
  <c r="BQ110" i="27"/>
  <c r="D111" i="27"/>
  <c r="BN111" i="27" s="1"/>
  <c r="BD110" i="27"/>
  <c r="CE110" i="27"/>
  <c r="BK110" i="27"/>
  <c r="CD110" i="27"/>
  <c r="CS109" i="27"/>
  <c r="CT109" i="27"/>
  <c r="A109" i="27"/>
  <c r="CR109" i="27"/>
  <c r="CP109" i="27"/>
  <c r="CQ109" i="27"/>
  <c r="CH109" i="27"/>
  <c r="BJ109" i="27"/>
  <c r="BY109" i="27"/>
  <c r="CL109" i="27"/>
  <c r="AW110" i="27" l="1"/>
  <c r="AX110" i="27"/>
  <c r="AQ110" i="27"/>
  <c r="BB110" i="27" s="1"/>
  <c r="AY110" i="27"/>
  <c r="AR110" i="27"/>
  <c r="AZ110" i="27"/>
  <c r="AS110" i="27"/>
  <c r="AT110" i="27"/>
  <c r="AU110" i="27"/>
  <c r="AV110" i="27"/>
  <c r="BL110" i="27"/>
  <c r="BM110" i="27" s="1"/>
  <c r="BI110" i="27"/>
  <c r="AK110" i="27"/>
  <c r="CA110" i="27"/>
  <c r="CM110" i="27"/>
  <c r="K110" i="27"/>
  <c r="L110" i="27" s="1"/>
  <c r="E110" i="27"/>
  <c r="AM110" i="27" s="1"/>
  <c r="AN109" i="27"/>
  <c r="AL110" i="27"/>
  <c r="AO109" i="27"/>
  <c r="CO109" i="27"/>
  <c r="BV109" i="27"/>
  <c r="CS110" i="27"/>
  <c r="CR110" i="27"/>
  <c r="CQ110" i="27"/>
  <c r="CH110" i="27"/>
  <c r="CP110" i="27"/>
  <c r="CT110" i="27"/>
  <c r="A110" i="27"/>
  <c r="BJ110" i="27"/>
  <c r="CL110" i="27"/>
  <c r="B111" i="27"/>
  <c r="BE111" i="27" s="1"/>
  <c r="CG111" i="27"/>
  <c r="CN111" i="27"/>
  <c r="G111" i="27"/>
  <c r="CB111" i="27"/>
  <c r="I111" i="27"/>
  <c r="CF111" i="27"/>
  <c r="CK111" i="27"/>
  <c r="H111" i="27"/>
  <c r="CE111" i="27"/>
  <c r="CD111" i="27"/>
  <c r="CI111" i="27"/>
  <c r="BZ111" i="27"/>
  <c r="BK111" i="27"/>
  <c r="CC111" i="27"/>
  <c r="D112" i="27"/>
  <c r="BN112" i="27" s="1"/>
  <c r="BA111" i="27"/>
  <c r="BD111" i="27"/>
  <c r="CJ111" i="27"/>
  <c r="BC111" i="27"/>
  <c r="BH111" i="27" s="1"/>
  <c r="C111" i="27"/>
  <c r="J111" i="27" s="1"/>
  <c r="AP111" i="27"/>
  <c r="BQ111" i="27"/>
  <c r="BY110" i="27"/>
  <c r="AU111" i="27" l="1"/>
  <c r="AV111" i="27"/>
  <c r="AW111" i="27"/>
  <c r="AX111" i="27"/>
  <c r="AQ111" i="27"/>
  <c r="BB111" i="27" s="1"/>
  <c r="AY111" i="27"/>
  <c r="AR111" i="27"/>
  <c r="AZ111" i="27"/>
  <c r="AS111" i="27"/>
  <c r="AT111" i="27"/>
  <c r="BI111" i="27"/>
  <c r="BL111" i="27"/>
  <c r="BM111" i="27" s="1"/>
  <c r="AK111" i="27"/>
  <c r="CA111" i="27"/>
  <c r="CM111" i="27"/>
  <c r="K111" i="27"/>
  <c r="L111" i="27" s="1"/>
  <c r="CL111" i="27"/>
  <c r="E111" i="27"/>
  <c r="AM111" i="27" s="1"/>
  <c r="AL111" i="27"/>
  <c r="AN110" i="27"/>
  <c r="BY111" i="27"/>
  <c r="AO110" i="27"/>
  <c r="BV110" i="27"/>
  <c r="CO110" i="27"/>
  <c r="B112" i="27"/>
  <c r="BE112" i="27" s="1"/>
  <c r="BQ112" i="27"/>
  <c r="CN112" i="27"/>
  <c r="BK112" i="27"/>
  <c r="C112" i="27"/>
  <c r="AK112" i="27" s="1"/>
  <c r="G112" i="27"/>
  <c r="D113" i="27"/>
  <c r="BN113" i="27" s="1"/>
  <c r="AP112" i="27"/>
  <c r="CD112" i="27"/>
  <c r="I112" i="27"/>
  <c r="CI112" i="27"/>
  <c r="CF112" i="27"/>
  <c r="CJ112" i="27"/>
  <c r="BD112" i="27"/>
  <c r="H112" i="27"/>
  <c r="CG112" i="27"/>
  <c r="CE112" i="27"/>
  <c r="CB112" i="27"/>
  <c r="BC112" i="27"/>
  <c r="BH112" i="27" s="1"/>
  <c r="BZ112" i="27"/>
  <c r="BA112" i="27"/>
  <c r="CK112" i="27"/>
  <c r="CC112" i="27"/>
  <c r="CS111" i="27"/>
  <c r="CQ111" i="27"/>
  <c r="CH111" i="27"/>
  <c r="CP111" i="27"/>
  <c r="BJ111" i="27"/>
  <c r="A111" i="27"/>
  <c r="CT111" i="27"/>
  <c r="CR111" i="27"/>
  <c r="BY112" i="27" l="1"/>
  <c r="J112" i="27"/>
  <c r="E112" i="27" s="1"/>
  <c r="AM112" i="27" s="1"/>
  <c r="BI112" i="27"/>
  <c r="BL112" i="27"/>
  <c r="BM112" i="27" s="1"/>
  <c r="AS112" i="27"/>
  <c r="AT112" i="27"/>
  <c r="AU112" i="27"/>
  <c r="AV112" i="27"/>
  <c r="AW112" i="27"/>
  <c r="AX112" i="27"/>
  <c r="AQ112" i="27"/>
  <c r="BB112" i="27" s="1"/>
  <c r="AY112" i="27"/>
  <c r="AR112" i="27"/>
  <c r="AZ112" i="27"/>
  <c r="CA112" i="27"/>
  <c r="CM112" i="27"/>
  <c r="K112" i="27"/>
  <c r="L112" i="27" s="1"/>
  <c r="CS112" i="27"/>
  <c r="CP112" i="27"/>
  <c r="CR112" i="27"/>
  <c r="A112" i="27"/>
  <c r="CH112" i="27"/>
  <c r="BJ112" i="27"/>
  <c r="CQ112" i="27"/>
  <c r="CT112" i="27"/>
  <c r="B113" i="27"/>
  <c r="BE113" i="27" s="1"/>
  <c r="BZ113" i="27"/>
  <c r="BC113" i="27"/>
  <c r="BH113" i="27" s="1"/>
  <c r="CJ113" i="27"/>
  <c r="BK113" i="27"/>
  <c r="G113" i="27"/>
  <c r="D114" i="27"/>
  <c r="BN114" i="27" s="1"/>
  <c r="CI113" i="27"/>
  <c r="CE113" i="27"/>
  <c r="CD113" i="27"/>
  <c r="CF113" i="27"/>
  <c r="C113" i="27"/>
  <c r="J113" i="27" s="1"/>
  <c r="AP113" i="27"/>
  <c r="BD113" i="27"/>
  <c r="BQ113" i="27"/>
  <c r="CB113" i="27"/>
  <c r="BA113" i="27"/>
  <c r="CK113" i="27"/>
  <c r="CG113" i="27"/>
  <c r="H113" i="27"/>
  <c r="CC113" i="27"/>
  <c r="CN113" i="27"/>
  <c r="I113" i="27"/>
  <c r="CL112" i="27"/>
  <c r="AN111" i="27"/>
  <c r="AL112" i="27"/>
  <c r="CO111" i="27"/>
  <c r="BV111" i="27"/>
  <c r="AO111" i="27"/>
  <c r="AQ113" i="27" l="1"/>
  <c r="BB113" i="27" s="1"/>
  <c r="AY113" i="27"/>
  <c r="AR113" i="27"/>
  <c r="AZ113" i="27"/>
  <c r="AS113" i="27"/>
  <c r="AT113" i="27"/>
  <c r="AU113" i="27"/>
  <c r="AV113" i="27"/>
  <c r="AW113" i="27"/>
  <c r="AX113" i="27"/>
  <c r="AK113" i="27"/>
  <c r="BI113" i="27"/>
  <c r="BL113" i="27"/>
  <c r="BM113" i="27" s="1"/>
  <c r="CA113" i="27"/>
  <c r="CM113" i="27"/>
  <c r="K113" i="27"/>
  <c r="L113" i="27" s="1"/>
  <c r="AL113" i="27"/>
  <c r="BY113" i="27"/>
  <c r="BV112" i="27"/>
  <c r="AO112" i="27"/>
  <c r="CO112" i="27"/>
  <c r="CS113" i="27"/>
  <c r="CP113" i="27"/>
  <c r="BJ113" i="27"/>
  <c r="CR113" i="27"/>
  <c r="CT113" i="27"/>
  <c r="CQ113" i="27"/>
  <c r="CH113" i="27"/>
  <c r="A113" i="27"/>
  <c r="B114" i="27"/>
  <c r="BE114" i="27" s="1"/>
  <c r="C114" i="27"/>
  <c r="J114" i="27" s="1"/>
  <c r="CD114" i="27"/>
  <c r="CG114" i="27"/>
  <c r="I114" i="27"/>
  <c r="BD114" i="27"/>
  <c r="CE114" i="27"/>
  <c r="CK114" i="27"/>
  <c r="H114" i="27"/>
  <c r="AP114" i="27"/>
  <c r="D115" i="27"/>
  <c r="BN115" i="27" s="1"/>
  <c r="CC114" i="27"/>
  <c r="G114" i="27"/>
  <c r="BQ114" i="27"/>
  <c r="CN114" i="27"/>
  <c r="BZ114" i="27"/>
  <c r="CB114" i="27"/>
  <c r="BA114" i="27"/>
  <c r="BK114" i="27"/>
  <c r="BC114" i="27"/>
  <c r="BH114" i="27" s="1"/>
  <c r="CI114" i="27"/>
  <c r="CF114" i="27"/>
  <c r="CJ114" i="27"/>
  <c r="CL113" i="27"/>
  <c r="AN112" i="27"/>
  <c r="E113" i="27"/>
  <c r="AM113" i="27" s="1"/>
  <c r="BY114" i="27" l="1"/>
  <c r="BL114" i="27"/>
  <c r="BM114" i="27" s="1"/>
  <c r="BI114" i="27"/>
  <c r="AK114" i="27"/>
  <c r="AW114" i="27"/>
  <c r="AX114" i="27"/>
  <c r="AQ114" i="27"/>
  <c r="BB114" i="27" s="1"/>
  <c r="AY114" i="27"/>
  <c r="AR114" i="27"/>
  <c r="AZ114" i="27"/>
  <c r="AS114" i="27"/>
  <c r="AT114" i="27"/>
  <c r="AU114" i="27"/>
  <c r="AV114" i="27"/>
  <c r="CA114" i="27"/>
  <c r="CM114" i="27"/>
  <c r="CL114" i="27"/>
  <c r="K114" i="27"/>
  <c r="L114" i="27" s="1"/>
  <c r="AL114" i="27"/>
  <c r="E114" i="27"/>
  <c r="AM114" i="27" s="1"/>
  <c r="AO113" i="27"/>
  <c r="BV113" i="27"/>
  <c r="CO113" i="27"/>
  <c r="AN113" i="27"/>
  <c r="B115" i="27"/>
  <c r="BE115" i="27" s="1"/>
  <c r="CK115" i="27"/>
  <c r="AP115" i="27"/>
  <c r="CE115" i="27"/>
  <c r="BA115" i="27"/>
  <c r="G115" i="27"/>
  <c r="CI115" i="27"/>
  <c r="H115" i="27"/>
  <c r="I115" i="27"/>
  <c r="CF115" i="27"/>
  <c r="CB115" i="27"/>
  <c r="BQ115" i="27"/>
  <c r="CG115" i="27"/>
  <c r="BC115" i="27"/>
  <c r="BH115" i="27" s="1"/>
  <c r="BK115" i="27"/>
  <c r="BZ115" i="27"/>
  <c r="CD115" i="27"/>
  <c r="D116" i="27"/>
  <c r="BN116" i="27" s="1"/>
  <c r="BD115" i="27"/>
  <c r="CN115" i="27"/>
  <c r="CC115" i="27"/>
  <c r="CJ115" i="27"/>
  <c r="C115" i="27"/>
  <c r="J115" i="27" s="1"/>
  <c r="CS114" i="27"/>
  <c r="A114" i="27"/>
  <c r="CQ114" i="27"/>
  <c r="CR114" i="27"/>
  <c r="CT114" i="27"/>
  <c r="CP114" i="27"/>
  <c r="BJ114" i="27"/>
  <c r="CH114" i="27"/>
  <c r="K115" i="27" l="1"/>
  <c r="L115" i="27" s="1"/>
  <c r="AU115" i="27"/>
  <c r="AV115" i="27"/>
  <c r="AW115" i="27"/>
  <c r="AX115" i="27"/>
  <c r="AQ115" i="27"/>
  <c r="BB115" i="27" s="1"/>
  <c r="AY115" i="27"/>
  <c r="AR115" i="27"/>
  <c r="AZ115" i="27"/>
  <c r="AS115" i="27"/>
  <c r="AT115" i="27"/>
  <c r="AK115" i="27"/>
  <c r="BL115" i="27"/>
  <c r="BM115" i="27" s="1"/>
  <c r="BI115" i="27"/>
  <c r="CA115" i="27"/>
  <c r="CM115" i="27"/>
  <c r="E115" i="27"/>
  <c r="AM115" i="27" s="1"/>
  <c r="BY115" i="27"/>
  <c r="AL115" i="27"/>
  <c r="CL115" i="27"/>
  <c r="AN114" i="27"/>
  <c r="B116" i="27"/>
  <c r="BE116" i="27" s="1"/>
  <c r="D117" i="27"/>
  <c r="BN117" i="27" s="1"/>
  <c r="CJ116" i="27"/>
  <c r="CN116" i="27"/>
  <c r="AP116" i="27"/>
  <c r="BQ116" i="27"/>
  <c r="CI116" i="27"/>
  <c r="BZ116" i="27"/>
  <c r="CE116" i="27"/>
  <c r="G116" i="27"/>
  <c r="H116" i="27"/>
  <c r="BD116" i="27"/>
  <c r="C116" i="27"/>
  <c r="CC116" i="27"/>
  <c r="CD116" i="27"/>
  <c r="I116" i="27"/>
  <c r="BC116" i="27"/>
  <c r="BH116" i="27" s="1"/>
  <c r="CK116" i="27"/>
  <c r="BK116" i="27"/>
  <c r="BA116" i="27"/>
  <c r="CF116" i="27"/>
  <c r="CG116" i="27"/>
  <c r="CB116" i="27"/>
  <c r="CO114" i="27"/>
  <c r="AO114" i="27"/>
  <c r="BV114" i="27"/>
  <c r="CS115" i="27"/>
  <c r="A115" i="27"/>
  <c r="CT115" i="27"/>
  <c r="CP115" i="27"/>
  <c r="CR115" i="27"/>
  <c r="CH115" i="27"/>
  <c r="CQ115" i="27"/>
  <c r="BJ115" i="27"/>
  <c r="BL116" i="27" l="1"/>
  <c r="BM116" i="27" s="1"/>
  <c r="BI116" i="27"/>
  <c r="BY116" i="27"/>
  <c r="J116" i="27"/>
  <c r="E116" i="27" s="1"/>
  <c r="AM116" i="27" s="1"/>
  <c r="AK116" i="27"/>
  <c r="AS116" i="27"/>
  <c r="AT116" i="27"/>
  <c r="AU116" i="27"/>
  <c r="AV116" i="27"/>
  <c r="AW116" i="27"/>
  <c r="AX116" i="27"/>
  <c r="AQ116" i="27"/>
  <c r="BB116" i="27" s="1"/>
  <c r="AY116" i="27"/>
  <c r="AR116" i="27"/>
  <c r="AZ116" i="27"/>
  <c r="CA116" i="27"/>
  <c r="CM116" i="27"/>
  <c r="CL116" i="27"/>
  <c r="K116" i="27"/>
  <c r="L116" i="27" s="1"/>
  <c r="AN115" i="27"/>
  <c r="CO115" i="27"/>
  <c r="BV115" i="27"/>
  <c r="AO115" i="27"/>
  <c r="B117" i="27"/>
  <c r="BE117" i="27" s="1"/>
  <c r="AP117" i="27"/>
  <c r="CF117" i="27"/>
  <c r="G117" i="27"/>
  <c r="CB117" i="27"/>
  <c r="BZ117" i="27"/>
  <c r="I117" i="27"/>
  <c r="BC117" i="27"/>
  <c r="BH117" i="27" s="1"/>
  <c r="BA117" i="27"/>
  <c r="CK117" i="27"/>
  <c r="BK117" i="27"/>
  <c r="CC117" i="27"/>
  <c r="BD117" i="27"/>
  <c r="BQ117" i="27"/>
  <c r="CJ117" i="27"/>
  <c r="C117" i="27"/>
  <c r="J117" i="27" s="1"/>
  <c r="D118" i="27"/>
  <c r="BN118" i="27" s="1"/>
  <c r="H117" i="27"/>
  <c r="CE117" i="27"/>
  <c r="CN117" i="27"/>
  <c r="CG117" i="27"/>
  <c r="CD117" i="27"/>
  <c r="CI117" i="27"/>
  <c r="CS116" i="27"/>
  <c r="CQ116" i="27"/>
  <c r="BJ116" i="27"/>
  <c r="CP116" i="27"/>
  <c r="CH116" i="27"/>
  <c r="A116" i="27"/>
  <c r="CT116" i="27"/>
  <c r="CR116" i="27"/>
  <c r="AL116" i="27"/>
  <c r="AK117" i="27" l="1"/>
  <c r="AQ117" i="27"/>
  <c r="BB117" i="27" s="1"/>
  <c r="AY117" i="27"/>
  <c r="AR117" i="27"/>
  <c r="AZ117" i="27"/>
  <c r="AS117" i="27"/>
  <c r="AT117" i="27"/>
  <c r="AU117" i="27"/>
  <c r="AV117" i="27"/>
  <c r="AW117" i="27"/>
  <c r="AX117" i="27"/>
  <c r="BI117" i="27"/>
  <c r="BL117" i="27"/>
  <c r="BM117" i="27" s="1"/>
  <c r="CA117" i="27"/>
  <c r="CM117" i="27"/>
  <c r="K117" i="27"/>
  <c r="L117" i="27" s="1"/>
  <c r="AL117" i="27"/>
  <c r="E117" i="27"/>
  <c r="AM117" i="27" s="1"/>
  <c r="BY117" i="27"/>
  <c r="CL117" i="27"/>
  <c r="AN116" i="27"/>
  <c r="B118" i="27"/>
  <c r="BE118" i="27" s="1"/>
  <c r="CG118" i="27"/>
  <c r="CI118" i="27"/>
  <c r="AP118" i="27"/>
  <c r="BQ118" i="27"/>
  <c r="CN118" i="27"/>
  <c r="CE118" i="27"/>
  <c r="C118" i="27"/>
  <c r="AK118" i="27" s="1"/>
  <c r="BC118" i="27"/>
  <c r="BH118" i="27" s="1"/>
  <c r="I118" i="27"/>
  <c r="H118" i="27"/>
  <c r="BA118" i="27"/>
  <c r="CK118" i="27"/>
  <c r="G118" i="27"/>
  <c r="CC118" i="27"/>
  <c r="BD118" i="27"/>
  <c r="CF118" i="27"/>
  <c r="BZ118" i="27"/>
  <c r="CD118" i="27"/>
  <c r="CB118" i="27"/>
  <c r="CJ118" i="27"/>
  <c r="D119" i="27"/>
  <c r="BN119" i="27" s="1"/>
  <c r="BK118" i="27"/>
  <c r="CS117" i="27"/>
  <c r="CQ117" i="27"/>
  <c r="CR117" i="27"/>
  <c r="CT117" i="27"/>
  <c r="A117" i="27"/>
  <c r="BJ117" i="27"/>
  <c r="CP117" i="27"/>
  <c r="CH117" i="27"/>
  <c r="CO116" i="27"/>
  <c r="BV116" i="27"/>
  <c r="AO116" i="27"/>
  <c r="BL118" i="27" l="1"/>
  <c r="BM118" i="27" s="1"/>
  <c r="BI118" i="27"/>
  <c r="BY118" i="27"/>
  <c r="J118" i="27"/>
  <c r="E118" i="27" s="1"/>
  <c r="AM118" i="27" s="1"/>
  <c r="AW118" i="27"/>
  <c r="AX118" i="27"/>
  <c r="AQ118" i="27"/>
  <c r="BB118" i="27" s="1"/>
  <c r="AY118" i="27"/>
  <c r="AR118" i="27"/>
  <c r="AZ118" i="27"/>
  <c r="AS118" i="27"/>
  <c r="AT118" i="27"/>
  <c r="AU118" i="27"/>
  <c r="AV118" i="27"/>
  <c r="CA118" i="27"/>
  <c r="CM118" i="27"/>
  <c r="CL118" i="27"/>
  <c r="K118" i="27"/>
  <c r="L118" i="27" s="1"/>
  <c r="AL118" i="27"/>
  <c r="AN117" i="27"/>
  <c r="B119" i="27"/>
  <c r="BE119" i="27" s="1"/>
  <c r="BK119" i="27"/>
  <c r="H119" i="27"/>
  <c r="CF119" i="27"/>
  <c r="D120" i="27"/>
  <c r="BN120" i="27" s="1"/>
  <c r="BA119" i="27"/>
  <c r="BC119" i="27"/>
  <c r="BH119" i="27" s="1"/>
  <c r="I119" i="27"/>
  <c r="BD119" i="27"/>
  <c r="CN119" i="27"/>
  <c r="CI119" i="27"/>
  <c r="G119" i="27"/>
  <c r="BZ119" i="27"/>
  <c r="AP119" i="27"/>
  <c r="C119" i="27"/>
  <c r="J119" i="27" s="1"/>
  <c r="CG119" i="27"/>
  <c r="CD119" i="27"/>
  <c r="BQ119" i="27"/>
  <c r="CE119" i="27"/>
  <c r="CB119" i="27"/>
  <c r="CJ119" i="27"/>
  <c r="CC119" i="27"/>
  <c r="CK119" i="27"/>
  <c r="CS118" i="27"/>
  <c r="CH118" i="27"/>
  <c r="CT118" i="27"/>
  <c r="A118" i="27"/>
  <c r="BJ118" i="27"/>
  <c r="CR118" i="27"/>
  <c r="CQ118" i="27"/>
  <c r="CP118" i="27"/>
  <c r="BV117" i="27"/>
  <c r="AO117" i="27"/>
  <c r="CO117" i="27"/>
  <c r="AK119" i="27" l="1"/>
  <c r="BI119" i="27"/>
  <c r="BL119" i="27"/>
  <c r="BM119" i="27" s="1"/>
  <c r="AU119" i="27"/>
  <c r="AV119" i="27"/>
  <c r="AW119" i="27"/>
  <c r="AX119" i="27"/>
  <c r="AQ119" i="27"/>
  <c r="BB119" i="27" s="1"/>
  <c r="AY119" i="27"/>
  <c r="AR119" i="27"/>
  <c r="AZ119" i="27"/>
  <c r="AS119" i="27"/>
  <c r="AT119" i="27"/>
  <c r="CA119" i="27"/>
  <c r="CM119" i="27"/>
  <c r="CL119" i="27"/>
  <c r="K119" i="27"/>
  <c r="L119" i="27" s="1"/>
  <c r="E119" i="27"/>
  <c r="AM119" i="27" s="1"/>
  <c r="AL119" i="27"/>
  <c r="BY119" i="27"/>
  <c r="AN118" i="27"/>
  <c r="B120" i="27"/>
  <c r="BE120" i="27" s="1"/>
  <c r="CI120" i="27"/>
  <c r="I120" i="27"/>
  <c r="BD120" i="27"/>
  <c r="D121" i="27"/>
  <c r="BN121" i="27" s="1"/>
  <c r="BK120" i="27"/>
  <c r="CN120" i="27"/>
  <c r="H120" i="27"/>
  <c r="G120" i="27"/>
  <c r="CC120" i="27"/>
  <c r="CK120" i="27"/>
  <c r="CE120" i="27"/>
  <c r="CB120" i="27"/>
  <c r="CD120" i="27"/>
  <c r="BC120" i="27"/>
  <c r="BH120" i="27" s="1"/>
  <c r="BZ120" i="27"/>
  <c r="BA120" i="27"/>
  <c r="CF120" i="27"/>
  <c r="CG120" i="27"/>
  <c r="BQ120" i="27"/>
  <c r="CJ120" i="27"/>
  <c r="C120" i="27"/>
  <c r="J120" i="27" s="1"/>
  <c r="AP120" i="27"/>
  <c r="CS119" i="27"/>
  <c r="CR119" i="27"/>
  <c r="CH119" i="27"/>
  <c r="BJ119" i="27"/>
  <c r="CQ119" i="27"/>
  <c r="CP119" i="27"/>
  <c r="CT119" i="27"/>
  <c r="A119" i="27"/>
  <c r="CO118" i="27"/>
  <c r="AO118" i="27"/>
  <c r="BV118" i="27"/>
  <c r="AK120" i="27" l="1"/>
  <c r="BI120" i="27"/>
  <c r="BL120" i="27"/>
  <c r="BM120" i="27" s="1"/>
  <c r="AS120" i="27"/>
  <c r="AT120" i="27"/>
  <c r="AU120" i="27"/>
  <c r="AV120" i="27"/>
  <c r="AW120" i="27"/>
  <c r="AX120" i="27"/>
  <c r="AQ120" i="27"/>
  <c r="BB120" i="27" s="1"/>
  <c r="AY120" i="27"/>
  <c r="AR120" i="27"/>
  <c r="AZ120" i="27"/>
  <c r="CA120" i="27"/>
  <c r="CM120" i="27"/>
  <c r="E120" i="27"/>
  <c r="AM120" i="27" s="1"/>
  <c r="AL120" i="27"/>
  <c r="K120" i="27"/>
  <c r="L120" i="27" s="1"/>
  <c r="CL120" i="27"/>
  <c r="AN119" i="27"/>
  <c r="BY120" i="27"/>
  <c r="B121" i="27"/>
  <c r="BE121" i="27" s="1"/>
  <c r="D122" i="27"/>
  <c r="C121" i="27"/>
  <c r="J121" i="27" s="1"/>
  <c r="CG121" i="27"/>
  <c r="BZ121" i="27"/>
  <c r="CJ121" i="27"/>
  <c r="CD121" i="27"/>
  <c r="CN121" i="27"/>
  <c r="CB121" i="27"/>
  <c r="G121" i="27"/>
  <c r="BQ121" i="27"/>
  <c r="CF121" i="27"/>
  <c r="CE121" i="27"/>
  <c r="I121" i="27"/>
  <c r="BK121" i="27"/>
  <c r="BD121" i="27"/>
  <c r="CK121" i="27"/>
  <c r="CI121" i="27"/>
  <c r="CC121" i="27"/>
  <c r="BC121" i="27"/>
  <c r="BH121" i="27" s="1"/>
  <c r="H121" i="27"/>
  <c r="AP121" i="27"/>
  <c r="BA121" i="27"/>
  <c r="CO119" i="27"/>
  <c r="AO119" i="27"/>
  <c r="BV119" i="27"/>
  <c r="CS120" i="27"/>
  <c r="CQ120" i="27"/>
  <c r="CP120" i="27"/>
  <c r="CH120" i="27"/>
  <c r="BJ120" i="27"/>
  <c r="A120" i="27"/>
  <c r="CT120" i="27"/>
  <c r="CR120" i="27"/>
  <c r="BN122" i="27" l="1"/>
  <c r="AK121" i="27"/>
  <c r="BI121" i="27"/>
  <c r="BL121" i="27"/>
  <c r="BM121" i="27" s="1"/>
  <c r="AQ121" i="27"/>
  <c r="BB121" i="27" s="1"/>
  <c r="AY121" i="27"/>
  <c r="AR121" i="27"/>
  <c r="AZ121" i="27"/>
  <c r="AS121" i="27"/>
  <c r="AT121" i="27"/>
  <c r="AU121" i="27"/>
  <c r="AV121" i="27"/>
  <c r="AW121" i="27"/>
  <c r="AX121" i="27"/>
  <c r="CA121" i="27"/>
  <c r="CM121" i="27"/>
  <c r="CL121" i="27"/>
  <c r="AL121" i="27"/>
  <c r="BY121" i="27"/>
  <c r="K121" i="27"/>
  <c r="L121" i="27" s="1"/>
  <c r="AN120" i="27"/>
  <c r="E121" i="27"/>
  <c r="AM121" i="27" s="1"/>
  <c r="CS121" i="27"/>
  <c r="CR121" i="27"/>
  <c r="CQ121" i="27"/>
  <c r="BJ121" i="27"/>
  <c r="CP121" i="27"/>
  <c r="A121" i="27"/>
  <c r="CT121" i="27"/>
  <c r="CH121" i="27"/>
  <c r="CO120" i="27"/>
  <c r="AO120" i="27"/>
  <c r="BV120" i="27"/>
  <c r="B122" i="27"/>
  <c r="BE122" i="27" s="1"/>
  <c r="BD122" i="27"/>
  <c r="H122" i="27"/>
  <c r="CF122" i="27"/>
  <c r="BC122" i="27"/>
  <c r="BH122" i="27" s="1"/>
  <c r="CK122" i="27"/>
  <c r="BZ122" i="27"/>
  <c r="BQ122" i="27"/>
  <c r="CC122" i="27"/>
  <c r="CN122" i="27"/>
  <c r="CD122" i="27"/>
  <c r="C122" i="27"/>
  <c r="J122" i="27" s="1"/>
  <c r="CJ122" i="27"/>
  <c r="BA122" i="27"/>
  <c r="AP122" i="27"/>
  <c r="CB122" i="27"/>
  <c r="BK122" i="27"/>
  <c r="D123" i="27"/>
  <c r="D124" i="27" s="1"/>
  <c r="G122" i="27"/>
  <c r="I122" i="27"/>
  <c r="CI122" i="27"/>
  <c r="CG122" i="27"/>
  <c r="CE122" i="27"/>
  <c r="I124" i="27" l="1"/>
  <c r="BZ124" i="27"/>
  <c r="CC124" i="27"/>
  <c r="CF124" i="27"/>
  <c r="BC124" i="27"/>
  <c r="BH124" i="27" s="1"/>
  <c r="CK124" i="27"/>
  <c r="CI124" i="27"/>
  <c r="BQ124" i="27"/>
  <c r="CB124" i="27"/>
  <c r="H124" i="27"/>
  <c r="BN124" i="27"/>
  <c r="CD124" i="27"/>
  <c r="CE124" i="27"/>
  <c r="BA124" i="27"/>
  <c r="CJ124" i="27"/>
  <c r="B124" i="27"/>
  <c r="BE124" i="27" s="1"/>
  <c r="G124" i="27"/>
  <c r="CG124" i="27"/>
  <c r="AP124" i="27"/>
  <c r="BK124" i="27"/>
  <c r="BD124" i="27"/>
  <c r="CN124" i="27"/>
  <c r="C124" i="27"/>
  <c r="J124" i="27" s="1"/>
  <c r="D125" i="27"/>
  <c r="AK122" i="27"/>
  <c r="BN123" i="27"/>
  <c r="AW122" i="27"/>
  <c r="AX122" i="27"/>
  <c r="AQ122" i="27"/>
  <c r="BB122" i="27" s="1"/>
  <c r="AY122" i="27"/>
  <c r="AR122" i="27"/>
  <c r="AZ122" i="27"/>
  <c r="AS122" i="27"/>
  <c r="AT122" i="27"/>
  <c r="AU122" i="27"/>
  <c r="AV122" i="27"/>
  <c r="BL122" i="27"/>
  <c r="BM122" i="27" s="1"/>
  <c r="BI122" i="27"/>
  <c r="CA122" i="27"/>
  <c r="CM122" i="27"/>
  <c r="K122" i="27"/>
  <c r="L122" i="27" s="1"/>
  <c r="CL122" i="27"/>
  <c r="AN121" i="27"/>
  <c r="AL122" i="27"/>
  <c r="CS122" i="27"/>
  <c r="BJ122" i="27"/>
  <c r="CR122" i="27"/>
  <c r="CQ122" i="27"/>
  <c r="CH122" i="27"/>
  <c r="A122" i="27"/>
  <c r="CT122" i="27"/>
  <c r="CP122" i="27"/>
  <c r="BV121" i="27"/>
  <c r="CO121" i="27"/>
  <c r="AO121" i="27"/>
  <c r="BY122" i="27"/>
  <c r="E122" i="27"/>
  <c r="AM122" i="27" s="1"/>
  <c r="B123" i="27"/>
  <c r="BE123" i="27" s="1"/>
  <c r="CK123" i="27"/>
  <c r="I123" i="27"/>
  <c r="CD123" i="27"/>
  <c r="CI123" i="27"/>
  <c r="CB123" i="27"/>
  <c r="BK123" i="27"/>
  <c r="G123" i="27"/>
  <c r="BZ123" i="27"/>
  <c r="CE123" i="27"/>
  <c r="BC123" i="27"/>
  <c r="BH123" i="27" s="1"/>
  <c r="BQ123" i="27"/>
  <c r="CG123" i="27"/>
  <c r="CJ123" i="27"/>
  <c r="CC123" i="27"/>
  <c r="H123" i="27"/>
  <c r="C123" i="27"/>
  <c r="J123" i="27" s="1"/>
  <c r="CF123" i="27"/>
  <c r="AP123" i="27"/>
  <c r="CN123" i="27"/>
  <c r="BA123" i="27"/>
  <c r="BD123" i="27"/>
  <c r="CL124" i="27" l="1"/>
  <c r="AK124" i="27"/>
  <c r="BY124" i="27"/>
  <c r="E124" i="27"/>
  <c r="AM124" i="27" s="1"/>
  <c r="CA124" i="27"/>
  <c r="K124" i="27"/>
  <c r="L124" i="27" s="1"/>
  <c r="AL124" i="27"/>
  <c r="I125" i="27"/>
  <c r="H125" i="27"/>
  <c r="B125" i="27"/>
  <c r="BE125" i="27" s="1"/>
  <c r="CK125" i="27"/>
  <c r="CI125" i="27"/>
  <c r="BZ125" i="27"/>
  <c r="CB125" i="27"/>
  <c r="BQ125" i="27"/>
  <c r="CG125" i="27"/>
  <c r="C125" i="27"/>
  <c r="J125" i="27" s="1"/>
  <c r="CC125" i="27"/>
  <c r="CN125" i="27"/>
  <c r="G125" i="27"/>
  <c r="AP125" i="27"/>
  <c r="CE125" i="27"/>
  <c r="BN125" i="27"/>
  <c r="CJ125" i="27"/>
  <c r="BD125" i="27"/>
  <c r="BC125" i="27"/>
  <c r="BH125" i="27" s="1"/>
  <c r="BK125" i="27"/>
  <c r="CF125" i="27"/>
  <c r="CD125" i="27"/>
  <c r="BA125" i="27"/>
  <c r="D126" i="27"/>
  <c r="CT124" i="27"/>
  <c r="A124" i="27"/>
  <c r="CM124" i="27"/>
  <c r="CH124" i="27"/>
  <c r="CS124" i="27"/>
  <c r="CR124" i="27"/>
  <c r="BI124" i="27"/>
  <c r="CQ124" i="27"/>
  <c r="CP124" i="27"/>
  <c r="BJ124" i="27"/>
  <c r="BL124" i="27"/>
  <c r="BM124" i="27" s="1"/>
  <c r="AR124" i="27"/>
  <c r="AY124" i="27"/>
  <c r="AZ124" i="27"/>
  <c r="AX124" i="27"/>
  <c r="AW124" i="27"/>
  <c r="AT124" i="27"/>
  <c r="AS124" i="27"/>
  <c r="AV124" i="27"/>
  <c r="AQ124" i="27"/>
  <c r="AU124" i="27"/>
  <c r="AK123" i="27"/>
  <c r="AU123" i="27"/>
  <c r="AV123" i="27"/>
  <c r="AW123" i="27"/>
  <c r="AX123" i="27"/>
  <c r="AQ123" i="27"/>
  <c r="BB123" i="27" s="1"/>
  <c r="AY123" i="27"/>
  <c r="AR123" i="27"/>
  <c r="AZ123" i="27"/>
  <c r="AS123" i="27"/>
  <c r="AT123" i="27"/>
  <c r="BL123" i="27"/>
  <c r="BM123" i="27" s="1"/>
  <c r="BI123" i="27"/>
  <c r="CA123" i="27"/>
  <c r="CM123" i="27"/>
  <c r="CL123" i="27"/>
  <c r="AL123" i="27"/>
  <c r="BY123" i="27"/>
  <c r="K123" i="27"/>
  <c r="L123" i="27" s="1"/>
  <c r="AN122" i="27"/>
  <c r="E123" i="27"/>
  <c r="AM123" i="27" s="1"/>
  <c r="CS123" i="27"/>
  <c r="CP123" i="27"/>
  <c r="CH123" i="27"/>
  <c r="CR123" i="27"/>
  <c r="CT123" i="27"/>
  <c r="CQ123" i="27"/>
  <c r="BJ123" i="27"/>
  <c r="A123" i="27"/>
  <c r="BV122" i="27"/>
  <c r="AO122" i="27"/>
  <c r="CO122" i="27"/>
  <c r="E125" i="27" l="1"/>
  <c r="AM125" i="27" s="1"/>
  <c r="AK125" i="27"/>
  <c r="AL125" i="27"/>
  <c r="CA125" i="27"/>
  <c r="BY125" i="27"/>
  <c r="CL125" i="27"/>
  <c r="K125" i="27"/>
  <c r="L125" i="27" s="1"/>
  <c r="BB124" i="27"/>
  <c r="AN124" i="27"/>
  <c r="H126" i="27"/>
  <c r="B126" i="27"/>
  <c r="I126" i="27"/>
  <c r="CK126" i="27"/>
  <c r="BK126" i="27"/>
  <c r="AP126" i="27"/>
  <c r="C126" i="27"/>
  <c r="J126" i="27" s="1"/>
  <c r="CN126" i="27"/>
  <c r="CC126" i="27"/>
  <c r="D127" i="27"/>
  <c r="CD126" i="27"/>
  <c r="CE126" i="27"/>
  <c r="BD126" i="27"/>
  <c r="CB126" i="27"/>
  <c r="CG126" i="27"/>
  <c r="CF126" i="27"/>
  <c r="BC126" i="27"/>
  <c r="BH126" i="27" s="1"/>
  <c r="BZ126" i="27"/>
  <c r="G126" i="27"/>
  <c r="CI126" i="27"/>
  <c r="BN126" i="27"/>
  <c r="CJ126" i="27"/>
  <c r="BA126" i="27"/>
  <c r="BQ126" i="27"/>
  <c r="AW125" i="27"/>
  <c r="AX125" i="27"/>
  <c r="AV125" i="27"/>
  <c r="AR125" i="27"/>
  <c r="AZ125" i="27"/>
  <c r="AY125" i="27"/>
  <c r="AQ125" i="27"/>
  <c r="AU125" i="27"/>
  <c r="AT125" i="27"/>
  <c r="AS125" i="27"/>
  <c r="CR125" i="27"/>
  <c r="BL125" i="27"/>
  <c r="BM125" i="27" s="1"/>
  <c r="CQ125" i="27"/>
  <c r="BI125" i="27"/>
  <c r="CS125" i="27"/>
  <c r="CH125" i="27"/>
  <c r="BJ125" i="27"/>
  <c r="CP125" i="27"/>
  <c r="CM125" i="27"/>
  <c r="CT125" i="27"/>
  <c r="A125" i="27"/>
  <c r="BV124" i="27"/>
  <c r="CO124" i="27"/>
  <c r="AO124" i="27"/>
  <c r="AN123" i="27"/>
  <c r="BV123" i="27"/>
  <c r="AO123" i="27"/>
  <c r="CO123" i="27"/>
  <c r="CA126" i="27" l="1"/>
  <c r="BE126" i="27"/>
  <c r="K126" i="27"/>
  <c r="L126" i="27" s="1"/>
  <c r="AL126" i="27"/>
  <c r="E126" i="27"/>
  <c r="AM126" i="27" s="1"/>
  <c r="BY126" i="27"/>
  <c r="BB125" i="27"/>
  <c r="AN125" i="27"/>
  <c r="CL126" i="27"/>
  <c r="AK126" i="27"/>
  <c r="AP127" i="27"/>
  <c r="BN127" i="27"/>
  <c r="CI127" i="27"/>
  <c r="BZ127" i="27"/>
  <c r="CE127" i="27"/>
  <c r="BD127" i="27"/>
  <c r="C127" i="27"/>
  <c r="J127" i="27" s="1"/>
  <c r="I127" i="27"/>
  <c r="CK127" i="27"/>
  <c r="BQ127" i="27"/>
  <c r="BK127" i="27"/>
  <c r="CJ127" i="27"/>
  <c r="CB127" i="27"/>
  <c r="G127" i="27"/>
  <c r="CG127" i="27"/>
  <c r="H127" i="27"/>
  <c r="BA127" i="27"/>
  <c r="B127" i="27"/>
  <c r="CC127" i="27"/>
  <c r="CN127" i="27"/>
  <c r="BC127" i="27"/>
  <c r="BH127" i="27" s="1"/>
  <c r="CF127" i="27"/>
  <c r="CD127" i="27"/>
  <c r="D128" i="27"/>
  <c r="BV125" i="27"/>
  <c r="AO125" i="27"/>
  <c r="CO125" i="27"/>
  <c r="CR126" i="27"/>
  <c r="BL126" i="27"/>
  <c r="BM126" i="27" s="1"/>
  <c r="BJ126" i="27"/>
  <c r="CP126" i="27"/>
  <c r="CM126" i="27"/>
  <c r="CS126" i="27"/>
  <c r="A126" i="27"/>
  <c r="CH126" i="27"/>
  <c r="CQ126" i="27"/>
  <c r="BI126" i="27"/>
  <c r="CT126" i="27"/>
  <c r="AR126" i="27"/>
  <c r="AX126" i="27"/>
  <c r="AY126" i="27"/>
  <c r="AS126" i="27"/>
  <c r="AW126" i="27"/>
  <c r="AQ126" i="27"/>
  <c r="AV126" i="27"/>
  <c r="AU126" i="27"/>
  <c r="AT126" i="27"/>
  <c r="AZ126" i="27"/>
  <c r="E127" i="27" l="1"/>
  <c r="AM127" i="27" s="1"/>
  <c r="BE127" i="27"/>
  <c r="K127" i="27"/>
  <c r="L127" i="27" s="1"/>
  <c r="BY127" i="27"/>
  <c r="CA127" i="27"/>
  <c r="AK127" i="27"/>
  <c r="AL127" i="27"/>
  <c r="BB126" i="27"/>
  <c r="AN126" i="27"/>
  <c r="CL127" i="27"/>
  <c r="AV127" i="27"/>
  <c r="AU127" i="27"/>
  <c r="AT127" i="27"/>
  <c r="AS127" i="27"/>
  <c r="AY127" i="27"/>
  <c r="AZ127" i="27"/>
  <c r="AR127" i="27"/>
  <c r="AQ127" i="27"/>
  <c r="AX127" i="27"/>
  <c r="AW127" i="27"/>
  <c r="D129" i="27"/>
  <c r="CF128" i="27"/>
  <c r="CB128" i="27"/>
  <c r="BZ128" i="27"/>
  <c r="AP128" i="27"/>
  <c r="CD128" i="27"/>
  <c r="B128" i="27"/>
  <c r="BQ128" i="27"/>
  <c r="H128" i="27"/>
  <c r="BK128" i="27"/>
  <c r="C128" i="27"/>
  <c r="J128" i="27" s="1"/>
  <c r="CK128" i="27"/>
  <c r="BN128" i="27"/>
  <c r="CE128" i="27"/>
  <c r="CG128" i="27"/>
  <c r="G128" i="27"/>
  <c r="BD128" i="27"/>
  <c r="CI128" i="27"/>
  <c r="BC128" i="27"/>
  <c r="BH128" i="27" s="1"/>
  <c r="CC128" i="27"/>
  <c r="BA128" i="27"/>
  <c r="CN128" i="27"/>
  <c r="I128" i="27"/>
  <c r="CJ128" i="27"/>
  <c r="CO126" i="27"/>
  <c r="AO126" i="27"/>
  <c r="BV126" i="27"/>
  <c r="BI127" i="27"/>
  <c r="CP127" i="27"/>
  <c r="A127" i="27"/>
  <c r="CH127" i="27"/>
  <c r="CS127" i="27"/>
  <c r="CR127" i="27"/>
  <c r="BJ127" i="27"/>
  <c r="CM127" i="27"/>
  <c r="CT127" i="27"/>
  <c r="BL127" i="27"/>
  <c r="BM127" i="27" s="1"/>
  <c r="CQ127" i="27"/>
  <c r="CL128" i="27" l="1"/>
  <c r="BE128" i="27"/>
  <c r="AK128" i="27"/>
  <c r="K128" i="27"/>
  <c r="L128" i="27" s="1"/>
  <c r="BY128" i="27"/>
  <c r="AL128" i="27"/>
  <c r="CA128" i="27"/>
  <c r="E128" i="27"/>
  <c r="AM128" i="27" s="1"/>
  <c r="BB127" i="27"/>
  <c r="AN127" i="27"/>
  <c r="AW128" i="27"/>
  <c r="AS128" i="27"/>
  <c r="AV128" i="27"/>
  <c r="AR128" i="27"/>
  <c r="AT128" i="27"/>
  <c r="AY128" i="27"/>
  <c r="AZ128" i="27"/>
  <c r="AU128" i="27"/>
  <c r="AQ128" i="27"/>
  <c r="AX128" i="27"/>
  <c r="CP128" i="27"/>
  <c r="BL128" i="27"/>
  <c r="BM128" i="27" s="1"/>
  <c r="CH128" i="27"/>
  <c r="CQ128" i="27"/>
  <c r="BJ128" i="27"/>
  <c r="CS128" i="27"/>
  <c r="BI128" i="27"/>
  <c r="A128" i="27"/>
  <c r="CM128" i="27"/>
  <c r="CT128" i="27"/>
  <c r="CR128" i="27"/>
  <c r="CI129" i="27"/>
  <c r="CE129" i="27"/>
  <c r="G129" i="27"/>
  <c r="D130" i="27"/>
  <c r="CG129" i="27"/>
  <c r="BQ129" i="27"/>
  <c r="CB129" i="27"/>
  <c r="BK129" i="27"/>
  <c r="H129" i="27"/>
  <c r="BD129" i="27"/>
  <c r="BA129" i="27"/>
  <c r="B129" i="27"/>
  <c r="BE129" i="27" s="1"/>
  <c r="I129" i="27"/>
  <c r="CJ129" i="27"/>
  <c r="BN129" i="27"/>
  <c r="CN129" i="27"/>
  <c r="CK129" i="27"/>
  <c r="BZ129" i="27"/>
  <c r="CF129" i="27"/>
  <c r="CC129" i="27"/>
  <c r="C129" i="27"/>
  <c r="J129" i="27" s="1"/>
  <c r="AP129" i="27"/>
  <c r="BC129" i="27"/>
  <c r="BH129" i="27" s="1"/>
  <c r="CD129" i="27"/>
  <c r="CO127" i="27"/>
  <c r="BV127" i="27"/>
  <c r="AO127" i="27"/>
  <c r="K129" i="27" l="1"/>
  <c r="L129" i="27" s="1"/>
  <c r="BY129" i="27"/>
  <c r="AL129" i="27"/>
  <c r="AK129" i="27"/>
  <c r="CL129" i="27"/>
  <c r="CA129" i="27"/>
  <c r="E129" i="27"/>
  <c r="AM129" i="27" s="1"/>
  <c r="BB128" i="27"/>
  <c r="AN128" i="27"/>
  <c r="AZ129" i="27"/>
  <c r="AR129" i="27"/>
  <c r="AY129" i="27"/>
  <c r="AQ129" i="27"/>
  <c r="AW129" i="27"/>
  <c r="AX129" i="27"/>
  <c r="AS129" i="27"/>
  <c r="AU129" i="27"/>
  <c r="AV129" i="27"/>
  <c r="AT129" i="27"/>
  <c r="BI129" i="27"/>
  <c r="A129" i="27"/>
  <c r="CM129" i="27"/>
  <c r="CQ129" i="27"/>
  <c r="CS129" i="27"/>
  <c r="CH129" i="27"/>
  <c r="CP129" i="27"/>
  <c r="CR129" i="27"/>
  <c r="BL129" i="27"/>
  <c r="BM129" i="27" s="1"/>
  <c r="BJ129" i="27"/>
  <c r="CT129" i="27"/>
  <c r="CJ130" i="27"/>
  <c r="BA130" i="27"/>
  <c r="BN130" i="27"/>
  <c r="CB130" i="27"/>
  <c r="B130" i="27"/>
  <c r="BD130" i="27"/>
  <c r="BQ130" i="27"/>
  <c r="CN130" i="27"/>
  <c r="D131" i="27"/>
  <c r="CF130" i="27"/>
  <c r="H130" i="27"/>
  <c r="C130" i="27"/>
  <c r="J130" i="27" s="1"/>
  <c r="CE130" i="27"/>
  <c r="I130" i="27"/>
  <c r="K130" i="27" s="1"/>
  <c r="BZ130" i="27"/>
  <c r="AP130" i="27"/>
  <c r="CK130" i="27"/>
  <c r="CI130" i="27"/>
  <c r="CC130" i="27"/>
  <c r="BC130" i="27"/>
  <c r="BH130" i="27" s="1"/>
  <c r="BK130" i="27"/>
  <c r="CG130" i="27"/>
  <c r="CD130" i="27"/>
  <c r="G130" i="27"/>
  <c r="CO128" i="27"/>
  <c r="BV128" i="27"/>
  <c r="AO128" i="27"/>
  <c r="CL130" i="27" l="1"/>
  <c r="BE130" i="27"/>
  <c r="AL130" i="27"/>
  <c r="AK130" i="27"/>
  <c r="E130" i="27"/>
  <c r="AM130" i="27" s="1"/>
  <c r="CA130" i="27"/>
  <c r="BY130" i="27"/>
  <c r="BB129" i="27"/>
  <c r="AN129" i="27"/>
  <c r="L130" i="27"/>
  <c r="AS130" i="27"/>
  <c r="AZ130" i="27"/>
  <c r="AR130" i="27"/>
  <c r="AX130" i="27"/>
  <c r="AY130" i="27"/>
  <c r="AQ130" i="27"/>
  <c r="AT130" i="27"/>
  <c r="AV130" i="27"/>
  <c r="AW130" i="27"/>
  <c r="AU130" i="27"/>
  <c r="CR130" i="27"/>
  <c r="CT130" i="27"/>
  <c r="BL130" i="27"/>
  <c r="BM130" i="27" s="1"/>
  <c r="CS130" i="27"/>
  <c r="CQ130" i="27"/>
  <c r="CM130" i="27"/>
  <c r="BJ130" i="27"/>
  <c r="CP130" i="27"/>
  <c r="CH130" i="27"/>
  <c r="BI130" i="27"/>
  <c r="A130" i="27"/>
  <c r="CO129" i="27"/>
  <c r="AO129" i="27"/>
  <c r="BV129" i="27"/>
  <c r="CK131" i="27"/>
  <c r="D132" i="27"/>
  <c r="CC131" i="27"/>
  <c r="CN131" i="27"/>
  <c r="BZ131" i="27"/>
  <c r="I131" i="27"/>
  <c r="BC131" i="27"/>
  <c r="BH131" i="27" s="1"/>
  <c r="AP131" i="27"/>
  <c r="C131" i="27"/>
  <c r="J131" i="27" s="1"/>
  <c r="CJ131" i="27"/>
  <c r="BK131" i="27"/>
  <c r="G131" i="27"/>
  <c r="CI131" i="27"/>
  <c r="CG131" i="27"/>
  <c r="CD131" i="27"/>
  <c r="B131" i="27"/>
  <c r="BD131" i="27"/>
  <c r="CF131" i="27"/>
  <c r="BN131" i="27"/>
  <c r="CB131" i="27"/>
  <c r="BA131" i="27"/>
  <c r="CE131" i="27"/>
  <c r="BQ131" i="27"/>
  <c r="H131" i="27"/>
  <c r="E131" i="27" l="1"/>
  <c r="AM131" i="27" s="1"/>
  <c r="BE131" i="27"/>
  <c r="AK131" i="27"/>
  <c r="AL131" i="27"/>
  <c r="K131" i="27"/>
  <c r="L131" i="27" s="1"/>
  <c r="BY131" i="27"/>
  <c r="CL131" i="27"/>
  <c r="CA131" i="27"/>
  <c r="BB130" i="27"/>
  <c r="AN130" i="27"/>
  <c r="CO130" i="27"/>
  <c r="BV130" i="27"/>
  <c r="AO130" i="27"/>
  <c r="BL131" i="27"/>
  <c r="BM131" i="27" s="1"/>
  <c r="BI131" i="27"/>
  <c r="CQ131" i="27"/>
  <c r="CP131" i="27"/>
  <c r="CH131" i="27"/>
  <c r="BJ131" i="27"/>
  <c r="CS131" i="27"/>
  <c r="A131" i="27"/>
  <c r="CM131" i="27"/>
  <c r="CR131" i="27"/>
  <c r="CT131" i="27"/>
  <c r="BD132" i="27"/>
  <c r="CJ132" i="27"/>
  <c r="B132" i="27"/>
  <c r="CB132" i="27"/>
  <c r="D133" i="27"/>
  <c r="CE132" i="27"/>
  <c r="H132" i="27"/>
  <c r="BZ132" i="27"/>
  <c r="BQ132" i="27"/>
  <c r="BC132" i="27"/>
  <c r="BH132" i="27" s="1"/>
  <c r="CF132" i="27"/>
  <c r="CK132" i="27"/>
  <c r="C132" i="27"/>
  <c r="J132" i="27" s="1"/>
  <c r="CC132" i="27"/>
  <c r="CI132" i="27"/>
  <c r="CN132" i="27"/>
  <c r="I132" i="27"/>
  <c r="CD132" i="27"/>
  <c r="G132" i="27"/>
  <c r="BK132" i="27"/>
  <c r="AP132" i="27"/>
  <c r="BN132" i="27"/>
  <c r="BA132" i="27"/>
  <c r="CG132" i="27"/>
  <c r="AR131" i="27"/>
  <c r="AS131" i="27"/>
  <c r="AY131" i="27"/>
  <c r="AQ131" i="27"/>
  <c r="AU131" i="27"/>
  <c r="AW131" i="27"/>
  <c r="AT131" i="27"/>
  <c r="AV131" i="27"/>
  <c r="AX131" i="27"/>
  <c r="AZ131" i="27"/>
  <c r="CL132" i="27" l="1"/>
  <c r="BE132" i="27"/>
  <c r="BY132" i="27"/>
  <c r="K132" i="27"/>
  <c r="L132" i="27" s="1"/>
  <c r="CA132" i="27"/>
  <c r="AK132" i="27"/>
  <c r="BB131" i="27"/>
  <c r="AN131" i="27"/>
  <c r="AL132" i="27"/>
  <c r="E132" i="27"/>
  <c r="AM132" i="27" s="1"/>
  <c r="AR132" i="27"/>
  <c r="AQ132" i="27"/>
  <c r="AX132" i="27"/>
  <c r="AV132" i="27"/>
  <c r="AW132" i="27"/>
  <c r="AT132" i="27"/>
  <c r="AU132" i="27"/>
  <c r="AY132" i="27"/>
  <c r="AS132" i="27"/>
  <c r="AZ132" i="27"/>
  <c r="CE133" i="27"/>
  <c r="BD133" i="27"/>
  <c r="CJ133" i="27"/>
  <c r="BN133" i="27"/>
  <c r="BA133" i="27"/>
  <c r="BQ133" i="27"/>
  <c r="CB133" i="27"/>
  <c r="BZ133" i="27"/>
  <c r="H133" i="27"/>
  <c r="CG133" i="27"/>
  <c r="I133" i="27"/>
  <c r="CK133" i="27"/>
  <c r="BC133" i="27"/>
  <c r="BH133" i="27" s="1"/>
  <c r="AP133" i="27"/>
  <c r="D134" i="27"/>
  <c r="CC133" i="27"/>
  <c r="CI133" i="27"/>
  <c r="B133" i="27"/>
  <c r="CN133" i="27"/>
  <c r="C133" i="27"/>
  <c r="J133" i="27" s="1"/>
  <c r="CD133" i="27"/>
  <c r="G133" i="27"/>
  <c r="BK133" i="27"/>
  <c r="CF133" i="27"/>
  <c r="BV131" i="27"/>
  <c r="CO131" i="27"/>
  <c r="AO131" i="27"/>
  <c r="CT132" i="27"/>
  <c r="BJ132" i="27"/>
  <c r="BI132" i="27"/>
  <c r="A132" i="27"/>
  <c r="CS132" i="27"/>
  <c r="CM132" i="27"/>
  <c r="CR132" i="27"/>
  <c r="CQ132" i="27"/>
  <c r="BL132" i="27"/>
  <c r="BM132" i="27" s="1"/>
  <c r="CH132" i="27"/>
  <c r="CP132" i="27"/>
  <c r="E133" i="27" l="1"/>
  <c r="AM133" i="27" s="1"/>
  <c r="BE133" i="27"/>
  <c r="K133" i="27"/>
  <c r="L133" i="27" s="1"/>
  <c r="CA133" i="27"/>
  <c r="AL133" i="27"/>
  <c r="BB132" i="27"/>
  <c r="AN132" i="27"/>
  <c r="AK133" i="27"/>
  <c r="CL133" i="27"/>
  <c r="BY133" i="27"/>
  <c r="CR133" i="27"/>
  <c r="CS133" i="27"/>
  <c r="BL133" i="27"/>
  <c r="BM133" i="27" s="1"/>
  <c r="CQ133" i="27"/>
  <c r="CM133" i="27"/>
  <c r="BI133" i="27"/>
  <c r="CT133" i="27"/>
  <c r="A133" i="27"/>
  <c r="CP133" i="27"/>
  <c r="BJ133" i="27"/>
  <c r="CH133" i="27"/>
  <c r="CO132" i="27"/>
  <c r="BV132" i="27"/>
  <c r="AO132" i="27"/>
  <c r="CN134" i="27"/>
  <c r="CC134" i="27"/>
  <c r="D135" i="27"/>
  <c r="BA134" i="27"/>
  <c r="CF134" i="27"/>
  <c r="CD134" i="27"/>
  <c r="BC134" i="27"/>
  <c r="BH134" i="27" s="1"/>
  <c r="BZ134" i="27"/>
  <c r="CI134" i="27"/>
  <c r="CK134" i="27"/>
  <c r="AP134" i="27"/>
  <c r="BN134" i="27"/>
  <c r="G134" i="27"/>
  <c r="C134" i="27"/>
  <c r="J134" i="27" s="1"/>
  <c r="I134" i="27"/>
  <c r="B134" i="27"/>
  <c r="BE134" i="27" s="1"/>
  <c r="CE134" i="27"/>
  <c r="BD134" i="27"/>
  <c r="CJ134" i="27"/>
  <c r="BQ134" i="27"/>
  <c r="CB134" i="27"/>
  <c r="CG134" i="27"/>
  <c r="BK134" i="27"/>
  <c r="H134" i="27"/>
  <c r="AV133" i="27"/>
  <c r="AX133" i="27"/>
  <c r="AU133" i="27"/>
  <c r="AR133" i="27"/>
  <c r="AT133" i="27"/>
  <c r="AS133" i="27"/>
  <c r="AZ133" i="27"/>
  <c r="AY133" i="27"/>
  <c r="AW133" i="27"/>
  <c r="AQ133" i="27"/>
  <c r="E134" i="27" l="1"/>
  <c r="AM134" i="27" s="1"/>
  <c r="K134" i="27"/>
  <c r="L134" i="27" s="1"/>
  <c r="AL134" i="27"/>
  <c r="BY134" i="27"/>
  <c r="AK134" i="27"/>
  <c r="BB133" i="27"/>
  <c r="AN133" i="27"/>
  <c r="CL134" i="27"/>
  <c r="CA134" i="27"/>
  <c r="AO133" i="27"/>
  <c r="CO133" i="27"/>
  <c r="BV133" i="27"/>
  <c r="A134" i="27"/>
  <c r="CH134" i="27"/>
  <c r="CQ134" i="27"/>
  <c r="BJ134" i="27"/>
  <c r="CM134" i="27"/>
  <c r="BI134" i="27"/>
  <c r="CT134" i="27"/>
  <c r="CS134" i="27"/>
  <c r="CR134" i="27"/>
  <c r="BL134" i="27"/>
  <c r="BM134" i="27" s="1"/>
  <c r="CP134" i="27"/>
  <c r="AT134" i="27"/>
  <c r="AX134" i="27"/>
  <c r="AZ134" i="27"/>
  <c r="AR134" i="27"/>
  <c r="AY134" i="27"/>
  <c r="AS134" i="27"/>
  <c r="AQ134" i="27"/>
  <c r="AU134" i="27"/>
  <c r="AW134" i="27"/>
  <c r="AV134" i="27"/>
  <c r="CG135" i="27"/>
  <c r="BQ135" i="27"/>
  <c r="H135" i="27"/>
  <c r="BA135" i="27"/>
  <c r="BC135" i="27"/>
  <c r="BH135" i="27" s="1"/>
  <c r="CK135" i="27"/>
  <c r="CB135" i="27"/>
  <c r="B135" i="27"/>
  <c r="BE135" i="27" s="1"/>
  <c r="I135" i="27"/>
  <c r="CC135" i="27"/>
  <c r="CJ135" i="27"/>
  <c r="BK135" i="27"/>
  <c r="CN135" i="27"/>
  <c r="CD135" i="27"/>
  <c r="G135" i="27"/>
  <c r="D136" i="27"/>
  <c r="CE135" i="27"/>
  <c r="CF135" i="27"/>
  <c r="BN135" i="27"/>
  <c r="CI135" i="27"/>
  <c r="BZ135" i="27"/>
  <c r="AP135" i="27"/>
  <c r="BD135" i="27"/>
  <c r="C135" i="27"/>
  <c r="J135" i="27" s="1"/>
  <c r="K135" i="27" l="1"/>
  <c r="L135" i="27" s="1"/>
  <c r="CL135" i="27"/>
  <c r="AK135" i="27"/>
  <c r="AL135" i="27"/>
  <c r="BY135" i="27"/>
  <c r="E135" i="27"/>
  <c r="AM135" i="27" s="1"/>
  <c r="CA135" i="27"/>
  <c r="BB134" i="27"/>
  <c r="AN134" i="27"/>
  <c r="BC136" i="27"/>
  <c r="BH136" i="27" s="1"/>
  <c r="AP136" i="27"/>
  <c r="BD136" i="27"/>
  <c r="CI136" i="27"/>
  <c r="CG136" i="27"/>
  <c r="CE136" i="27"/>
  <c r="BQ136" i="27"/>
  <c r="H136" i="27"/>
  <c r="BK136" i="27"/>
  <c r="C136" i="27"/>
  <c r="J136" i="27" s="1"/>
  <c r="CK136" i="27"/>
  <c r="B136" i="27"/>
  <c r="CJ136" i="27"/>
  <c r="BA136" i="27"/>
  <c r="CF136" i="27"/>
  <c r="G136" i="27"/>
  <c r="I136" i="27"/>
  <c r="K136" i="27" s="1"/>
  <c r="CB136" i="27"/>
  <c r="CN136" i="27"/>
  <c r="BN136" i="27"/>
  <c r="D137" i="27"/>
  <c r="CC136" i="27"/>
  <c r="BZ136" i="27"/>
  <c r="CD136" i="27"/>
  <c r="CS135" i="27"/>
  <c r="CQ135" i="27"/>
  <c r="CP135" i="27"/>
  <c r="BL135" i="27"/>
  <c r="BM135" i="27" s="1"/>
  <c r="BI135" i="27"/>
  <c r="CH135" i="27"/>
  <c r="A135" i="27"/>
  <c r="BJ135" i="27"/>
  <c r="CT135" i="27"/>
  <c r="CM135" i="27"/>
  <c r="CR135" i="27"/>
  <c r="AY135" i="27"/>
  <c r="AZ135" i="27"/>
  <c r="AQ135" i="27"/>
  <c r="AR135" i="27"/>
  <c r="AX135" i="27"/>
  <c r="AS135" i="27"/>
  <c r="AT135" i="27"/>
  <c r="AU135" i="27"/>
  <c r="AW135" i="27"/>
  <c r="AV135" i="27"/>
  <c r="CO134" i="27"/>
  <c r="BV134" i="27"/>
  <c r="AO134" i="27"/>
  <c r="CL136" i="27" l="1"/>
  <c r="BE136" i="27"/>
  <c r="AK136" i="27"/>
  <c r="BY136" i="27"/>
  <c r="E136" i="27"/>
  <c r="AM136" i="27" s="1"/>
  <c r="CA136" i="27"/>
  <c r="AL136" i="27"/>
  <c r="BB135" i="27"/>
  <c r="AN135" i="27"/>
  <c r="L136" i="27"/>
  <c r="CO135" i="27"/>
  <c r="BV135" i="27"/>
  <c r="AO135" i="27"/>
  <c r="BJ136" i="27"/>
  <c r="BI136" i="27"/>
  <c r="CT136" i="27"/>
  <c r="CR136" i="27"/>
  <c r="A136" i="27"/>
  <c r="CH136" i="27"/>
  <c r="CM136" i="27"/>
  <c r="CQ136" i="27"/>
  <c r="CS136" i="27"/>
  <c r="CP136" i="27"/>
  <c r="BL136" i="27"/>
  <c r="BM136" i="27" s="1"/>
  <c r="D138" i="27"/>
  <c r="CE137" i="27"/>
  <c r="CD137" i="27"/>
  <c r="BN137" i="27"/>
  <c r="BZ137" i="27"/>
  <c r="BQ137" i="27"/>
  <c r="BA137" i="27"/>
  <c r="B137" i="27"/>
  <c r="C137" i="27"/>
  <c r="J137" i="27" s="1"/>
  <c r="H137" i="27"/>
  <c r="G137" i="27"/>
  <c r="CG137" i="27"/>
  <c r="I137" i="27"/>
  <c r="K137" i="27" s="1"/>
  <c r="CJ137" i="27"/>
  <c r="CC137" i="27"/>
  <c r="AP137" i="27"/>
  <c r="BK137" i="27"/>
  <c r="CK137" i="27"/>
  <c r="CB137" i="27"/>
  <c r="BD137" i="27"/>
  <c r="CN137" i="27"/>
  <c r="CF137" i="27"/>
  <c r="BC137" i="27"/>
  <c r="BH137" i="27" s="1"/>
  <c r="CI137" i="27"/>
  <c r="AZ136" i="27"/>
  <c r="AT136" i="27"/>
  <c r="AR136" i="27"/>
  <c r="AS136" i="27"/>
  <c r="AU136" i="27"/>
  <c r="AV136" i="27"/>
  <c r="AY136" i="27"/>
  <c r="AQ136" i="27"/>
  <c r="AX136" i="27"/>
  <c r="AW136" i="27"/>
  <c r="E137" i="27" l="1"/>
  <c r="AM137" i="27" s="1"/>
  <c r="BE137" i="27"/>
  <c r="BY137" i="27"/>
  <c r="AK137" i="27"/>
  <c r="CL137" i="27"/>
  <c r="CA137" i="27"/>
  <c r="AL137" i="27"/>
  <c r="BB136" i="27"/>
  <c r="AN136" i="27"/>
  <c r="L137" i="27"/>
  <c r="CM137" i="27"/>
  <c r="BI137" i="27"/>
  <c r="CS137" i="27"/>
  <c r="CT137" i="27"/>
  <c r="BJ137" i="27"/>
  <c r="CR137" i="27"/>
  <c r="CP137" i="27"/>
  <c r="CQ137" i="27"/>
  <c r="A137" i="27"/>
  <c r="CH137" i="27"/>
  <c r="BL137" i="27"/>
  <c r="BM137" i="27" s="1"/>
  <c r="CJ138" i="27"/>
  <c r="CF138" i="27"/>
  <c r="BQ138" i="27"/>
  <c r="CB138" i="27"/>
  <c r="D139" i="27"/>
  <c r="AP138" i="27"/>
  <c r="I138" i="27"/>
  <c r="K138" i="27" s="1"/>
  <c r="B138" i="27"/>
  <c r="BA138" i="27"/>
  <c r="CN138" i="27"/>
  <c r="H138" i="27"/>
  <c r="CC138" i="27"/>
  <c r="BZ138" i="27"/>
  <c r="G138" i="27"/>
  <c r="BK138" i="27"/>
  <c r="C138" i="27"/>
  <c r="J138" i="27" s="1"/>
  <c r="CD138" i="27"/>
  <c r="CI138" i="27"/>
  <c r="CG138" i="27"/>
  <c r="BN138" i="27"/>
  <c r="BC138" i="27"/>
  <c r="BH138" i="27" s="1"/>
  <c r="CK138" i="27"/>
  <c r="BD138" i="27"/>
  <c r="CE138" i="27"/>
  <c r="AR137" i="27"/>
  <c r="AS137" i="27"/>
  <c r="AY137" i="27"/>
  <c r="AV137" i="27"/>
  <c r="AZ137" i="27"/>
  <c r="AQ137" i="27"/>
  <c r="AT137" i="27"/>
  <c r="AX137" i="27"/>
  <c r="AW137" i="27"/>
  <c r="AU137" i="27"/>
  <c r="CO136" i="27"/>
  <c r="BV136" i="27"/>
  <c r="AO136" i="27"/>
  <c r="CL138" i="27" l="1"/>
  <c r="BE138" i="27"/>
  <c r="BY138" i="27"/>
  <c r="AL138" i="27"/>
  <c r="BB137" i="27"/>
  <c r="AN137" i="27"/>
  <c r="CA138" i="27"/>
  <c r="E138" i="27"/>
  <c r="AM138" i="27" s="1"/>
  <c r="AK138" i="27"/>
  <c r="AQ138" i="27"/>
  <c r="AX138" i="27"/>
  <c r="AV138" i="27"/>
  <c r="AT138" i="27"/>
  <c r="AU138" i="27"/>
  <c r="AS138" i="27"/>
  <c r="AW138" i="27"/>
  <c r="AZ138" i="27"/>
  <c r="AR138" i="27"/>
  <c r="AY138" i="27"/>
  <c r="CR138" i="27"/>
  <c r="CT138" i="27"/>
  <c r="BL138" i="27"/>
  <c r="BM138" i="27" s="1"/>
  <c r="CS138" i="27"/>
  <c r="CQ138" i="27"/>
  <c r="CM138" i="27"/>
  <c r="CP138" i="27"/>
  <c r="CH138" i="27"/>
  <c r="BJ138" i="27"/>
  <c r="BI138" i="27"/>
  <c r="A138" i="27"/>
  <c r="L138" i="27"/>
  <c r="C139" i="27"/>
  <c r="J139" i="27" s="1"/>
  <c r="CK139" i="27"/>
  <c r="CI139" i="27"/>
  <c r="CG139" i="27"/>
  <c r="BN139" i="27"/>
  <c r="CC139" i="27"/>
  <c r="H139" i="27"/>
  <c r="BC139" i="27"/>
  <c r="BH139" i="27" s="1"/>
  <c r="BK139" i="27"/>
  <c r="B139" i="27"/>
  <c r="CN139" i="27"/>
  <c r="G139" i="27"/>
  <c r="BA139" i="27"/>
  <c r="CE139" i="27"/>
  <c r="BD139" i="27"/>
  <c r="CJ139" i="27"/>
  <c r="BQ139" i="27"/>
  <c r="CF139" i="27"/>
  <c r="CB139" i="27"/>
  <c r="D140" i="27"/>
  <c r="AP139" i="27"/>
  <c r="BZ139" i="27"/>
  <c r="I139" i="27"/>
  <c r="K139" i="27" s="1"/>
  <c r="CD139" i="27"/>
  <c r="CO137" i="27"/>
  <c r="BV137" i="27"/>
  <c r="AO137" i="27"/>
  <c r="E139" i="27" l="1"/>
  <c r="AM139" i="27" s="1"/>
  <c r="BE139" i="27"/>
  <c r="AK139" i="27"/>
  <c r="BY139" i="27"/>
  <c r="CA139" i="27"/>
  <c r="CL139" i="27"/>
  <c r="BB138" i="27"/>
  <c r="AN138" i="27"/>
  <c r="AL139" i="27"/>
  <c r="L139" i="27"/>
  <c r="CQ139" i="27"/>
  <c r="A139" i="27"/>
  <c r="CP139" i="27"/>
  <c r="BL139" i="27"/>
  <c r="BM139" i="27" s="1"/>
  <c r="CH139" i="27"/>
  <c r="BJ139" i="27"/>
  <c r="CR139" i="27"/>
  <c r="BI139" i="27"/>
  <c r="CT139" i="27"/>
  <c r="CS139" i="27"/>
  <c r="CM139" i="27"/>
  <c r="CO138" i="27"/>
  <c r="BV138" i="27"/>
  <c r="AO138" i="27"/>
  <c r="AY139" i="27"/>
  <c r="AQ139" i="27"/>
  <c r="AW139" i="27"/>
  <c r="AR139" i="27"/>
  <c r="AU139" i="27"/>
  <c r="AV139" i="27"/>
  <c r="AZ139" i="27"/>
  <c r="AT139" i="27"/>
  <c r="AX139" i="27"/>
  <c r="AS139" i="27"/>
  <c r="H140" i="27"/>
  <c r="C140" i="27"/>
  <c r="J140" i="27" s="1"/>
  <c r="B140" i="27"/>
  <c r="CK140" i="27"/>
  <c r="CI140" i="27"/>
  <c r="CN140" i="27"/>
  <c r="CG140" i="27"/>
  <c r="I140" i="27"/>
  <c r="K140" i="27" s="1"/>
  <c r="CC140" i="27"/>
  <c r="CF140" i="27"/>
  <c r="BC140" i="27"/>
  <c r="BH140" i="27" s="1"/>
  <c r="BK140" i="27"/>
  <c r="AP140" i="27"/>
  <c r="BD140" i="27"/>
  <c r="D141" i="27"/>
  <c r="CD140" i="27"/>
  <c r="G140" i="27"/>
  <c r="BA140" i="27"/>
  <c r="CE140" i="27"/>
  <c r="CB140" i="27"/>
  <c r="BZ140" i="27"/>
  <c r="BN140" i="27"/>
  <c r="CJ140" i="27"/>
  <c r="BQ140" i="27"/>
  <c r="CA140" i="27" l="1"/>
  <c r="BE140" i="27"/>
  <c r="AK140" i="27"/>
  <c r="BY140" i="27"/>
  <c r="AL140" i="27"/>
  <c r="E140" i="27"/>
  <c r="AM140" i="27" s="1"/>
  <c r="BB139" i="27"/>
  <c r="AN139" i="27"/>
  <c r="CL140" i="27"/>
  <c r="L140" i="27"/>
  <c r="BC141" i="27"/>
  <c r="BH141" i="27" s="1"/>
  <c r="BK141" i="27"/>
  <c r="AP141" i="27"/>
  <c r="CG141" i="27"/>
  <c r="CD141" i="27"/>
  <c r="G141" i="27"/>
  <c r="BA141" i="27"/>
  <c r="D142" i="27"/>
  <c r="I141" i="27"/>
  <c r="K141" i="27" s="1"/>
  <c r="CF141" i="27"/>
  <c r="BN141" i="27"/>
  <c r="CJ141" i="27"/>
  <c r="C141" i="27"/>
  <c r="J141" i="27" s="1"/>
  <c r="BD141" i="27"/>
  <c r="CB141" i="27"/>
  <c r="BZ141" i="27"/>
  <c r="CE141" i="27"/>
  <c r="BQ141" i="27"/>
  <c r="H141" i="27"/>
  <c r="B141" i="27"/>
  <c r="BE141" i="27" s="1"/>
  <c r="CK141" i="27"/>
  <c r="CI141" i="27"/>
  <c r="CN141" i="27"/>
  <c r="CC141" i="27"/>
  <c r="CQ140" i="27"/>
  <c r="CP140" i="27"/>
  <c r="BJ140" i="27"/>
  <c r="CH140" i="27"/>
  <c r="CT140" i="27"/>
  <c r="A140" i="27"/>
  <c r="CS140" i="27"/>
  <c r="CM140" i="27"/>
  <c r="CR140" i="27"/>
  <c r="BI140" i="27"/>
  <c r="BL140" i="27"/>
  <c r="BM140" i="27" s="1"/>
  <c r="CO139" i="27"/>
  <c r="AO139" i="27"/>
  <c r="BV139" i="27"/>
  <c r="AU140" i="27"/>
  <c r="AQ140" i="27"/>
  <c r="AT140" i="27"/>
  <c r="AV140" i="27"/>
  <c r="AY140" i="27"/>
  <c r="AS140" i="27"/>
  <c r="AZ140" i="27"/>
  <c r="AR140" i="27"/>
  <c r="AX140" i="27"/>
  <c r="AW140" i="27"/>
  <c r="E141" i="27" l="1"/>
  <c r="AM141" i="27" s="1"/>
  <c r="CA141" i="27"/>
  <c r="CL141" i="27"/>
  <c r="BY141" i="27"/>
  <c r="AK141" i="27"/>
  <c r="BB140" i="27"/>
  <c r="AN140" i="27"/>
  <c r="AL141" i="27"/>
  <c r="L141" i="27"/>
  <c r="AV141" i="27"/>
  <c r="AR141" i="27"/>
  <c r="AQ141" i="27"/>
  <c r="AU141" i="27"/>
  <c r="AX141" i="27"/>
  <c r="AZ141" i="27"/>
  <c r="AT141" i="27"/>
  <c r="AW141" i="27"/>
  <c r="AS141" i="27"/>
  <c r="AY141" i="27"/>
  <c r="AO140" i="27"/>
  <c r="CO140" i="27"/>
  <c r="BV140" i="27"/>
  <c r="A141" i="27"/>
  <c r="BL141" i="27"/>
  <c r="BM141" i="27" s="1"/>
  <c r="BI141" i="27"/>
  <c r="CM141" i="27"/>
  <c r="BJ141" i="27"/>
  <c r="CT141" i="27"/>
  <c r="CH141" i="27"/>
  <c r="CS141" i="27"/>
  <c r="CP141" i="27"/>
  <c r="CQ141" i="27"/>
  <c r="CR141" i="27"/>
  <c r="CF142" i="27"/>
  <c r="BN142" i="27"/>
  <c r="CJ142" i="27"/>
  <c r="BZ142" i="27"/>
  <c r="CD142" i="27"/>
  <c r="AP142" i="27"/>
  <c r="BD142" i="27"/>
  <c r="CB142" i="27"/>
  <c r="B142" i="27"/>
  <c r="CC142" i="27"/>
  <c r="CN142" i="27"/>
  <c r="CG142" i="27"/>
  <c r="CE142" i="27"/>
  <c r="BK142" i="27"/>
  <c r="CI142" i="27"/>
  <c r="G142" i="27"/>
  <c r="BQ142" i="27"/>
  <c r="H142" i="27"/>
  <c r="BA142" i="27"/>
  <c r="I142" i="27"/>
  <c r="K142" i="27" s="1"/>
  <c r="BC142" i="27"/>
  <c r="BH142" i="27" s="1"/>
  <c r="CK142" i="27"/>
  <c r="D143" i="27"/>
  <c r="C142" i="27"/>
  <c r="J142" i="27" s="1"/>
  <c r="CL142" i="27" l="1"/>
  <c r="BE142" i="27"/>
  <c r="E142" i="27"/>
  <c r="AM142" i="27" s="1"/>
  <c r="AK142" i="27"/>
  <c r="CA142" i="27"/>
  <c r="BY142" i="27"/>
  <c r="BB141" i="27"/>
  <c r="AN141" i="27"/>
  <c r="AL142" i="27"/>
  <c r="L142" i="27"/>
  <c r="CE143" i="27"/>
  <c r="BK143" i="27"/>
  <c r="CJ143" i="27"/>
  <c r="BQ143" i="27"/>
  <c r="H143" i="27"/>
  <c r="BA143" i="27"/>
  <c r="CB143" i="27"/>
  <c r="I143" i="27"/>
  <c r="K143" i="27" s="1"/>
  <c r="CC143" i="27"/>
  <c r="CG143" i="27"/>
  <c r="CK143" i="27"/>
  <c r="D144" i="27"/>
  <c r="B143" i="27"/>
  <c r="BC143" i="27"/>
  <c r="BH143" i="27" s="1"/>
  <c r="BZ143" i="27"/>
  <c r="BN143" i="27"/>
  <c r="CN143" i="27"/>
  <c r="CD143" i="27"/>
  <c r="G143" i="27"/>
  <c r="C143" i="27"/>
  <c r="J143" i="27" s="1"/>
  <c r="CF143" i="27"/>
  <c r="CI143" i="27"/>
  <c r="AP143" i="27"/>
  <c r="BD143" i="27"/>
  <c r="BV141" i="27"/>
  <c r="CO141" i="27"/>
  <c r="AO141" i="27"/>
  <c r="CP142" i="27"/>
  <c r="CH142" i="27"/>
  <c r="CM142" i="27"/>
  <c r="BI142" i="27"/>
  <c r="A142" i="27"/>
  <c r="BJ142" i="27"/>
  <c r="CT142" i="27"/>
  <c r="CQ142" i="27"/>
  <c r="CS142" i="27"/>
  <c r="CR142" i="27"/>
  <c r="BL142" i="27"/>
  <c r="BM142" i="27" s="1"/>
  <c r="AX142" i="27"/>
  <c r="AQ142" i="27"/>
  <c r="AW142" i="27"/>
  <c r="AS142" i="27"/>
  <c r="AU142" i="27"/>
  <c r="AV142" i="27"/>
  <c r="AT142" i="27"/>
  <c r="AR142" i="27"/>
  <c r="AZ142" i="27"/>
  <c r="AY142" i="27"/>
  <c r="CA143" i="27" l="1"/>
  <c r="BE143" i="27"/>
  <c r="BY143" i="27"/>
  <c r="AK143" i="27"/>
  <c r="AL143" i="27"/>
  <c r="BB142" i="27"/>
  <c r="AN142" i="27"/>
  <c r="E143" i="27"/>
  <c r="AM143" i="27" s="1"/>
  <c r="CL143" i="27"/>
  <c r="CO142" i="27"/>
  <c r="BV142" i="27"/>
  <c r="AO142" i="27"/>
  <c r="AQ143" i="27"/>
  <c r="AT143" i="27"/>
  <c r="AX143" i="27"/>
  <c r="AW143" i="27"/>
  <c r="AV143" i="27"/>
  <c r="AR143" i="27"/>
  <c r="AU143" i="27"/>
  <c r="AY143" i="27"/>
  <c r="AS143" i="27"/>
  <c r="AZ143" i="27"/>
  <c r="BI143" i="27"/>
  <c r="BJ143" i="27"/>
  <c r="A143" i="27"/>
  <c r="BL143" i="27"/>
  <c r="BM143" i="27" s="1"/>
  <c r="CM143" i="27"/>
  <c r="CR143" i="27"/>
  <c r="CT143" i="27"/>
  <c r="CH143" i="27"/>
  <c r="CS143" i="27"/>
  <c r="CP143" i="27"/>
  <c r="CQ143" i="27"/>
  <c r="B144" i="27"/>
  <c r="G144" i="27"/>
  <c r="D145" i="27"/>
  <c r="BD144" i="27"/>
  <c r="CG144" i="27"/>
  <c r="CN144" i="27"/>
  <c r="CD144" i="27"/>
  <c r="CK144" i="27"/>
  <c r="CF144" i="27"/>
  <c r="BN144" i="27"/>
  <c r="CI144" i="27"/>
  <c r="CC144" i="27"/>
  <c r="AP144" i="27"/>
  <c r="CB144" i="27"/>
  <c r="BZ144" i="27"/>
  <c r="CE144" i="27"/>
  <c r="BK144" i="27"/>
  <c r="CJ144" i="27"/>
  <c r="C144" i="27"/>
  <c r="J144" i="27" s="1"/>
  <c r="BQ144" i="27"/>
  <c r="H144" i="27"/>
  <c r="BA144" i="27"/>
  <c r="I144" i="27"/>
  <c r="K144" i="27" s="1"/>
  <c r="BC144" i="27"/>
  <c r="BH144" i="27" s="1"/>
  <c r="L143" i="27"/>
  <c r="CA144" i="27" l="1"/>
  <c r="BE144" i="27"/>
  <c r="BB143" i="27"/>
  <c r="AN143" i="27"/>
  <c r="AL144" i="27"/>
  <c r="AK144" i="27"/>
  <c r="E144" i="27"/>
  <c r="AM144" i="27" s="1"/>
  <c r="CL144" i="27"/>
  <c r="BY144" i="27"/>
  <c r="BV143" i="27"/>
  <c r="CO143" i="27"/>
  <c r="AO143" i="27"/>
  <c r="L144" i="27"/>
  <c r="AZ144" i="27"/>
  <c r="AS144" i="27"/>
  <c r="AR144" i="27"/>
  <c r="AU144" i="27"/>
  <c r="AY144" i="27"/>
  <c r="AQ144" i="27"/>
  <c r="AX144" i="27"/>
  <c r="AV144" i="27"/>
  <c r="AT144" i="27"/>
  <c r="AW144" i="27"/>
  <c r="CI145" i="27"/>
  <c r="CG145" i="27"/>
  <c r="BQ145" i="27"/>
  <c r="I145" i="27"/>
  <c r="K145" i="27" s="1"/>
  <c r="CN145" i="27"/>
  <c r="CD145" i="27"/>
  <c r="BK145" i="27"/>
  <c r="B145" i="27"/>
  <c r="CK145" i="27"/>
  <c r="BN145" i="27"/>
  <c r="BA145" i="27"/>
  <c r="CC145" i="27"/>
  <c r="BD145" i="27"/>
  <c r="CB145" i="27"/>
  <c r="CF145" i="27"/>
  <c r="BC145" i="27"/>
  <c r="BH145" i="27" s="1"/>
  <c r="CE145" i="27"/>
  <c r="CJ145" i="27"/>
  <c r="D146" i="27"/>
  <c r="AP145" i="27"/>
  <c r="G145" i="27"/>
  <c r="H145" i="27"/>
  <c r="BZ145" i="27"/>
  <c r="C145" i="27"/>
  <c r="J145" i="27" s="1"/>
  <c r="BI144" i="27"/>
  <c r="A144" i="27"/>
  <c r="CM144" i="27"/>
  <c r="CT144" i="27"/>
  <c r="CR144" i="27"/>
  <c r="CP144" i="27"/>
  <c r="BL144" i="27"/>
  <c r="BM144" i="27" s="1"/>
  <c r="CH144" i="27"/>
  <c r="CQ144" i="27"/>
  <c r="BJ144" i="27"/>
  <c r="CS144" i="27"/>
  <c r="CA145" i="27" l="1"/>
  <c r="BE145" i="27"/>
  <c r="AK145" i="27"/>
  <c r="AL145" i="27"/>
  <c r="E145" i="27"/>
  <c r="AM145" i="27" s="1"/>
  <c r="BB144" i="27"/>
  <c r="AN144" i="27"/>
  <c r="CL145" i="27"/>
  <c r="BY145" i="27"/>
  <c r="CJ146" i="27"/>
  <c r="CF146" i="27"/>
  <c r="CK146" i="27"/>
  <c r="CD146" i="27"/>
  <c r="CB146" i="27"/>
  <c r="D147" i="27"/>
  <c r="AP146" i="27"/>
  <c r="CC146" i="27"/>
  <c r="C146" i="27"/>
  <c r="J146" i="27" s="1"/>
  <c r="BZ146" i="27"/>
  <c r="BC146" i="27"/>
  <c r="BH146" i="27" s="1"/>
  <c r="G146" i="27"/>
  <c r="CI146" i="27"/>
  <c r="CG146" i="27"/>
  <c r="BN146" i="27"/>
  <c r="BQ146" i="27"/>
  <c r="B146" i="27"/>
  <c r="BE146" i="27" s="1"/>
  <c r="I146" i="27"/>
  <c r="K146" i="27" s="1"/>
  <c r="BA146" i="27"/>
  <c r="CE146" i="27"/>
  <c r="BD146" i="27"/>
  <c r="BK146" i="27"/>
  <c r="CN146" i="27"/>
  <c r="H146" i="27"/>
  <c r="AS145" i="27"/>
  <c r="AT145" i="27"/>
  <c r="AZ145" i="27"/>
  <c r="AV145" i="27"/>
  <c r="AR145" i="27"/>
  <c r="AY145" i="27"/>
  <c r="AQ145" i="27"/>
  <c r="AX145" i="27"/>
  <c r="AW145" i="27"/>
  <c r="AU145" i="27"/>
  <c r="L145" i="27"/>
  <c r="AO144" i="27"/>
  <c r="CO144" i="27"/>
  <c r="BV144" i="27"/>
  <c r="CM145" i="27"/>
  <c r="CS145" i="27"/>
  <c r="CQ145" i="27"/>
  <c r="CR145" i="27"/>
  <c r="CP145" i="27"/>
  <c r="BL145" i="27"/>
  <c r="BM145" i="27" s="1"/>
  <c r="CH145" i="27"/>
  <c r="CT145" i="27"/>
  <c r="BI145" i="27"/>
  <c r="A145" i="27"/>
  <c r="BJ145" i="27"/>
  <c r="BY146" i="27" l="1"/>
  <c r="E146" i="27"/>
  <c r="AM146" i="27" s="1"/>
  <c r="AL146" i="27"/>
  <c r="AK146" i="27"/>
  <c r="CA146" i="27"/>
  <c r="CL146" i="27"/>
  <c r="BB145" i="27"/>
  <c r="AN145" i="27"/>
  <c r="AS146" i="27"/>
  <c r="AW146" i="27"/>
  <c r="AZ146" i="27"/>
  <c r="AY146" i="27"/>
  <c r="AR146" i="27"/>
  <c r="AQ146" i="27"/>
  <c r="AU146" i="27"/>
  <c r="AX146" i="27"/>
  <c r="AV146" i="27"/>
  <c r="AT146" i="27"/>
  <c r="C147" i="27"/>
  <c r="J147" i="27" s="1"/>
  <c r="CF147" i="27"/>
  <c r="B147" i="27"/>
  <c r="CK147" i="27"/>
  <c r="CI147" i="27"/>
  <c r="CG147" i="27"/>
  <c r="CD147" i="27"/>
  <c r="BC147" i="27"/>
  <c r="BH147" i="27" s="1"/>
  <c r="BK147" i="27"/>
  <c r="BD147" i="27"/>
  <c r="CC147" i="27"/>
  <c r="BY147" i="27"/>
  <c r="BN147" i="27"/>
  <c r="G147" i="27"/>
  <c r="BA147" i="27"/>
  <c r="CE147" i="27"/>
  <c r="CB147" i="27"/>
  <c r="D148" i="27"/>
  <c r="BZ147" i="27"/>
  <c r="CJ147" i="27"/>
  <c r="AK147" i="27"/>
  <c r="BQ147" i="27"/>
  <c r="H147" i="27"/>
  <c r="AP147" i="27"/>
  <c r="AL147" i="27"/>
  <c r="I147" i="27"/>
  <c r="K147" i="27" s="1"/>
  <c r="CN147" i="27"/>
  <c r="L146" i="27"/>
  <c r="CR146" i="27"/>
  <c r="CT146" i="27"/>
  <c r="BL146" i="27"/>
  <c r="BM146" i="27" s="1"/>
  <c r="CS146" i="27"/>
  <c r="CP146" i="27"/>
  <c r="CQ146" i="27"/>
  <c r="CM146" i="27"/>
  <c r="CH146" i="27"/>
  <c r="A146" i="27"/>
  <c r="BJ146" i="27"/>
  <c r="BI146" i="27"/>
  <c r="CO145" i="27"/>
  <c r="BV145" i="27"/>
  <c r="AO145" i="27"/>
  <c r="CL147" i="27" l="1"/>
  <c r="BE147" i="27"/>
  <c r="E147" i="27"/>
  <c r="AM147" i="27" s="1"/>
  <c r="CA147" i="27"/>
  <c r="BB146" i="27"/>
  <c r="AN146" i="27"/>
  <c r="BC148" i="27"/>
  <c r="BH148" i="27" s="1"/>
  <c r="BK148" i="27"/>
  <c r="AP148" i="27"/>
  <c r="CD148" i="27"/>
  <c r="G148" i="27"/>
  <c r="BA148" i="27"/>
  <c r="CE148" i="27"/>
  <c r="CI148" i="27"/>
  <c r="BN148" i="27"/>
  <c r="CJ148" i="27"/>
  <c r="BQ148" i="27"/>
  <c r="CG148" i="27"/>
  <c r="CC148" i="27"/>
  <c r="B148" i="27"/>
  <c r="BD148" i="27"/>
  <c r="CB148" i="27"/>
  <c r="D149" i="27"/>
  <c r="CF148" i="27"/>
  <c r="BZ148" i="27"/>
  <c r="I148" i="27"/>
  <c r="K148" i="27" s="1"/>
  <c r="H148" i="27"/>
  <c r="C148" i="27"/>
  <c r="J148" i="27" s="1"/>
  <c r="CK148" i="27"/>
  <c r="CN148" i="27"/>
  <c r="BJ147" i="27"/>
  <c r="BI147" i="27"/>
  <c r="CH147" i="27"/>
  <c r="CS147" i="27"/>
  <c r="CM147" i="27"/>
  <c r="CR147" i="27"/>
  <c r="CT147" i="27"/>
  <c r="BL147" i="27"/>
  <c r="BM147" i="27" s="1"/>
  <c r="A147" i="27"/>
  <c r="CQ147" i="27"/>
  <c r="CP147" i="27"/>
  <c r="BV146" i="27"/>
  <c r="AO146" i="27"/>
  <c r="CO146" i="27"/>
  <c r="AU147" i="27"/>
  <c r="AV147" i="27"/>
  <c r="AT147" i="27"/>
  <c r="AX147" i="27"/>
  <c r="AS147" i="27"/>
  <c r="AQ147" i="27"/>
  <c r="AZ147" i="27"/>
  <c r="AW147" i="27"/>
  <c r="AR147" i="27"/>
  <c r="AY147" i="27"/>
  <c r="L147" i="27"/>
  <c r="CA148" i="27" l="1"/>
  <c r="BE148" i="27"/>
  <c r="AK148" i="27"/>
  <c r="E148" i="27"/>
  <c r="AM148" i="27" s="1"/>
  <c r="AL148" i="27"/>
  <c r="BB147" i="27"/>
  <c r="AN147" i="27"/>
  <c r="CL148" i="27"/>
  <c r="BY148" i="27"/>
  <c r="CT148" i="27"/>
  <c r="A148" i="27"/>
  <c r="CS148" i="27"/>
  <c r="CM148" i="27"/>
  <c r="CR148" i="27"/>
  <c r="BI148" i="27"/>
  <c r="BL148" i="27"/>
  <c r="BM148" i="27" s="1"/>
  <c r="CQ148" i="27"/>
  <c r="BJ148" i="27"/>
  <c r="CP148" i="27"/>
  <c r="CH148" i="27"/>
  <c r="AT148" i="27"/>
  <c r="AS148" i="27"/>
  <c r="AZ148" i="27"/>
  <c r="AR148" i="27"/>
  <c r="AX148" i="27"/>
  <c r="AY148" i="27"/>
  <c r="AQ148" i="27"/>
  <c r="AW148" i="27"/>
  <c r="AV148" i="27"/>
  <c r="AU148" i="27"/>
  <c r="CK149" i="27"/>
  <c r="CI149" i="27"/>
  <c r="CN149" i="27"/>
  <c r="I149" i="27"/>
  <c r="K149" i="27" s="1"/>
  <c r="CC149" i="27"/>
  <c r="CF149" i="27"/>
  <c r="BC149" i="27"/>
  <c r="BH149" i="27" s="1"/>
  <c r="BK149" i="27"/>
  <c r="AP149" i="27"/>
  <c r="G149" i="27"/>
  <c r="BA149" i="27"/>
  <c r="BZ149" i="27"/>
  <c r="BN149" i="27"/>
  <c r="CJ149" i="27"/>
  <c r="C149" i="27"/>
  <c r="J149" i="27" s="1"/>
  <c r="CE149" i="27"/>
  <c r="B149" i="27"/>
  <c r="CD149" i="27"/>
  <c r="BD149" i="27"/>
  <c r="CB149" i="27"/>
  <c r="CG149" i="27"/>
  <c r="D150" i="27"/>
  <c r="BQ149" i="27"/>
  <c r="H149" i="27"/>
  <c r="L148" i="27"/>
  <c r="AO147" i="27"/>
  <c r="BV147" i="27"/>
  <c r="CO147" i="27"/>
  <c r="CL149" i="27" l="1"/>
  <c r="BE149" i="27"/>
  <c r="BY149" i="27"/>
  <c r="AK149" i="27"/>
  <c r="AL149" i="27"/>
  <c r="E149" i="27"/>
  <c r="AM149" i="27" s="1"/>
  <c r="BB148" i="27"/>
  <c r="AN148" i="27"/>
  <c r="CA149" i="27"/>
  <c r="CM149" i="27"/>
  <c r="BJ149" i="27"/>
  <c r="CT149" i="27"/>
  <c r="CP149" i="27"/>
  <c r="CR149" i="27"/>
  <c r="CS149" i="27"/>
  <c r="CH149" i="27"/>
  <c r="BL149" i="27"/>
  <c r="BM149" i="27" s="1"/>
  <c r="BI149" i="27"/>
  <c r="CQ149" i="27"/>
  <c r="A149" i="27"/>
  <c r="AY149" i="27"/>
  <c r="AW149" i="27"/>
  <c r="AQ149" i="27"/>
  <c r="AX149" i="27"/>
  <c r="AZ149" i="27"/>
  <c r="AS149" i="27"/>
  <c r="AV149" i="27"/>
  <c r="AR149" i="27"/>
  <c r="AT149" i="27"/>
  <c r="AU149" i="27"/>
  <c r="L149" i="27"/>
  <c r="AO148" i="27"/>
  <c r="BV148" i="27"/>
  <c r="CO148" i="27"/>
  <c r="CK150" i="27"/>
  <c r="D151" i="27"/>
  <c r="BA150" i="27"/>
  <c r="CN150" i="27"/>
  <c r="BQ150" i="27"/>
  <c r="BK150" i="27"/>
  <c r="I150" i="27"/>
  <c r="K150" i="27" s="1"/>
  <c r="CC150" i="27"/>
  <c r="BZ150" i="27"/>
  <c r="CD150" i="27"/>
  <c r="G150" i="27"/>
  <c r="CG150" i="27"/>
  <c r="BC150" i="27"/>
  <c r="BH150" i="27" s="1"/>
  <c r="C150" i="27"/>
  <c r="J150" i="27" s="1"/>
  <c r="CI150" i="27"/>
  <c r="H150" i="27"/>
  <c r="CF150" i="27"/>
  <c r="BN150" i="27"/>
  <c r="CJ150" i="27"/>
  <c r="CE150" i="27"/>
  <c r="AP150" i="27"/>
  <c r="BD150" i="27"/>
  <c r="CB150" i="27"/>
  <c r="B150" i="27"/>
  <c r="BE150" i="27" s="1"/>
  <c r="E150" i="27" l="1"/>
  <c r="AM150" i="27" s="1"/>
  <c r="BY150" i="27"/>
  <c r="AL150" i="27"/>
  <c r="BB149" i="27"/>
  <c r="AN149" i="27"/>
  <c r="CA150" i="27"/>
  <c r="AK150" i="27"/>
  <c r="CL150" i="27"/>
  <c r="BL150" i="27"/>
  <c r="BM150" i="27" s="1"/>
  <c r="CP150" i="27"/>
  <c r="CR150" i="27"/>
  <c r="CH150" i="27"/>
  <c r="A150" i="27"/>
  <c r="BJ150" i="27"/>
  <c r="CM150" i="27"/>
  <c r="BI150" i="27"/>
  <c r="CT150" i="27"/>
  <c r="CQ150" i="27"/>
  <c r="CS150" i="27"/>
  <c r="AV150" i="27"/>
  <c r="AU150" i="27"/>
  <c r="AT150" i="27"/>
  <c r="AZ150" i="27"/>
  <c r="AQ150" i="27"/>
  <c r="AS150" i="27"/>
  <c r="AR150" i="27"/>
  <c r="AX150" i="27"/>
  <c r="AW150" i="27"/>
  <c r="AY150" i="27"/>
  <c r="CG151" i="27"/>
  <c r="CK151" i="27"/>
  <c r="BK151" i="27"/>
  <c r="I151" i="27"/>
  <c r="K151" i="27" s="1"/>
  <c r="CC151" i="27"/>
  <c r="D152" i="27"/>
  <c r="CE151" i="27"/>
  <c r="H151" i="27"/>
  <c r="B151" i="27"/>
  <c r="BC151" i="27"/>
  <c r="BH151" i="27" s="1"/>
  <c r="BZ151" i="27"/>
  <c r="BQ151" i="27"/>
  <c r="CN151" i="27"/>
  <c r="CD151" i="27"/>
  <c r="G151" i="27"/>
  <c r="C151" i="27"/>
  <c r="J151" i="27" s="1"/>
  <c r="CF151" i="27"/>
  <c r="BN151" i="27"/>
  <c r="CI151" i="27"/>
  <c r="CB151" i="27"/>
  <c r="CJ151" i="27"/>
  <c r="AP151" i="27"/>
  <c r="BD151" i="27"/>
  <c r="BA151" i="27"/>
  <c r="AO149" i="27"/>
  <c r="CO149" i="27"/>
  <c r="BV149" i="27"/>
  <c r="L150" i="27"/>
  <c r="CL151" i="27" l="1"/>
  <c r="BE151" i="27"/>
  <c r="E151" i="27"/>
  <c r="AM151" i="27" s="1"/>
  <c r="CA151" i="27"/>
  <c r="BY151" i="27"/>
  <c r="BB150" i="27"/>
  <c r="AN150" i="27"/>
  <c r="AK151" i="27"/>
  <c r="AL151" i="27"/>
  <c r="D153" i="27"/>
  <c r="AP152" i="27"/>
  <c r="BD152" i="27"/>
  <c r="BN152" i="27"/>
  <c r="CK152" i="27"/>
  <c r="BZ152" i="27"/>
  <c r="CE152" i="27"/>
  <c r="BK152" i="27"/>
  <c r="C152" i="27"/>
  <c r="J152" i="27" s="1"/>
  <c r="BQ152" i="27"/>
  <c r="H152" i="27"/>
  <c r="BA152" i="27"/>
  <c r="CG152" i="27"/>
  <c r="CJ152" i="27"/>
  <c r="CF152" i="27"/>
  <c r="CI152" i="27"/>
  <c r="BY152" i="27"/>
  <c r="I152" i="27"/>
  <c r="K152" i="27" s="1"/>
  <c r="CB152" i="27"/>
  <c r="CC152" i="27"/>
  <c r="CN152" i="27"/>
  <c r="CD152" i="27"/>
  <c r="BC152" i="27"/>
  <c r="BH152" i="27" s="1"/>
  <c r="B152" i="27"/>
  <c r="G152" i="27"/>
  <c r="AY151" i="27"/>
  <c r="AR151" i="27"/>
  <c r="AZ151" i="27"/>
  <c r="AQ151" i="27"/>
  <c r="AT151" i="27"/>
  <c r="AX151" i="27"/>
  <c r="AW151" i="27"/>
  <c r="AV151" i="27"/>
  <c r="AS151" i="27"/>
  <c r="AU151" i="27"/>
  <c r="AO150" i="27"/>
  <c r="BV150" i="27"/>
  <c r="CO150" i="27"/>
  <c r="L151" i="27"/>
  <c r="CT151" i="27"/>
  <c r="CS151" i="27"/>
  <c r="CP151" i="27"/>
  <c r="CR151" i="27"/>
  <c r="CQ151" i="27"/>
  <c r="CM151" i="27"/>
  <c r="CH151" i="27"/>
  <c r="BL151" i="27"/>
  <c r="BM151" i="27" s="1"/>
  <c r="BI151" i="27"/>
  <c r="BJ151" i="27"/>
  <c r="A151" i="27"/>
  <c r="E152" i="27" l="1"/>
  <c r="AM152" i="27" s="1"/>
  <c r="BE152" i="27"/>
  <c r="AL152" i="27"/>
  <c r="CL152" i="27"/>
  <c r="AK152" i="27"/>
  <c r="CA152" i="27"/>
  <c r="BB151" i="27"/>
  <c r="AN151" i="27"/>
  <c r="L152" i="27"/>
  <c r="AR152" i="27"/>
  <c r="AU152" i="27"/>
  <c r="AY152" i="27"/>
  <c r="AS152" i="27"/>
  <c r="AQ152" i="27"/>
  <c r="AZ152" i="27"/>
  <c r="AX152" i="27"/>
  <c r="AW152" i="27"/>
  <c r="AV152" i="27"/>
  <c r="AT152" i="27"/>
  <c r="CM152" i="27"/>
  <c r="CT152" i="27"/>
  <c r="CR152" i="27"/>
  <c r="CP152" i="27"/>
  <c r="BL152" i="27"/>
  <c r="BM152" i="27" s="1"/>
  <c r="CH152" i="27"/>
  <c r="CQ152" i="27"/>
  <c r="A152" i="27"/>
  <c r="BJ152" i="27"/>
  <c r="CS152" i="27"/>
  <c r="BI152" i="27"/>
  <c r="CO151" i="27"/>
  <c r="BV151" i="27"/>
  <c r="AO151" i="27"/>
  <c r="C153" i="27"/>
  <c r="J153" i="27" s="1"/>
  <c r="BQ153" i="27"/>
  <c r="CB153" i="27"/>
  <c r="BZ153" i="27"/>
  <c r="CI153" i="27"/>
  <c r="CG153" i="27"/>
  <c r="CE153" i="27"/>
  <c r="CJ153" i="27"/>
  <c r="I153" i="27"/>
  <c r="K153" i="27" s="1"/>
  <c r="H153" i="27"/>
  <c r="BK153" i="27"/>
  <c r="B153" i="27"/>
  <c r="CK153" i="27"/>
  <c r="CD153" i="27"/>
  <c r="BA153" i="27"/>
  <c r="CN153" i="27"/>
  <c r="CC153" i="27"/>
  <c r="BN153" i="27"/>
  <c r="CF153" i="27"/>
  <c r="BC153" i="27"/>
  <c r="BH153" i="27" s="1"/>
  <c r="BD153" i="27"/>
  <c r="D154" i="27"/>
  <c r="AP153" i="27"/>
  <c r="G153" i="27"/>
  <c r="CL153" i="27" l="1"/>
  <c r="BE153" i="27"/>
  <c r="E153" i="27"/>
  <c r="AM153" i="27" s="1"/>
  <c r="AK153" i="27"/>
  <c r="AL153" i="27"/>
  <c r="BY153" i="27"/>
  <c r="BB152" i="27"/>
  <c r="AN152" i="27"/>
  <c r="CA153" i="27"/>
  <c r="L153" i="27"/>
  <c r="AX153" i="27"/>
  <c r="AW153" i="27"/>
  <c r="AU153" i="27"/>
  <c r="AS153" i="27"/>
  <c r="AT153" i="27"/>
  <c r="AQ153" i="27"/>
  <c r="AZ153" i="27"/>
  <c r="AV153" i="27"/>
  <c r="AR153" i="27"/>
  <c r="AY153" i="27"/>
  <c r="BD154" i="27"/>
  <c r="BQ154" i="27"/>
  <c r="CI154" i="27"/>
  <c r="BN154" i="27"/>
  <c r="BK154" i="27"/>
  <c r="B154" i="27"/>
  <c r="G154" i="27"/>
  <c r="BA154" i="27"/>
  <c r="CN154" i="27"/>
  <c r="H154" i="27"/>
  <c r="I154" i="27"/>
  <c r="K154" i="27" s="1"/>
  <c r="CD154" i="27"/>
  <c r="CJ154" i="27"/>
  <c r="CF154" i="27"/>
  <c r="CK154" i="27"/>
  <c r="CG154" i="27"/>
  <c r="CE154" i="27"/>
  <c r="CB154" i="27"/>
  <c r="D155" i="27"/>
  <c r="AP154" i="27"/>
  <c r="CC154" i="27"/>
  <c r="BZ154" i="27"/>
  <c r="BC154" i="27"/>
  <c r="BH154" i="27" s="1"/>
  <c r="C154" i="27"/>
  <c r="J154" i="27" s="1"/>
  <c r="BJ153" i="27"/>
  <c r="CH153" i="27"/>
  <c r="BI153" i="27"/>
  <c r="BL153" i="27"/>
  <c r="BM153" i="27" s="1"/>
  <c r="A153" i="27"/>
  <c r="CP153" i="27"/>
  <c r="CM153" i="27"/>
  <c r="CT153" i="27"/>
  <c r="CS153" i="27"/>
  <c r="CQ153" i="27"/>
  <c r="CR153" i="27"/>
  <c r="CO152" i="27"/>
  <c r="BV152" i="27"/>
  <c r="AO152" i="27"/>
  <c r="CA154" i="27" l="1"/>
  <c r="BE154" i="27"/>
  <c r="CL154" i="27"/>
  <c r="AL154" i="27"/>
  <c r="BB153" i="27"/>
  <c r="AN153" i="27"/>
  <c r="AK154" i="27"/>
  <c r="E154" i="27"/>
  <c r="AM154" i="27" s="1"/>
  <c r="BY154" i="27"/>
  <c r="L154" i="27"/>
  <c r="CO153" i="27"/>
  <c r="BV153" i="27"/>
  <c r="AO153" i="27"/>
  <c r="AQ154" i="27"/>
  <c r="AX154" i="27"/>
  <c r="AV154" i="27"/>
  <c r="AT154" i="27"/>
  <c r="AU154" i="27"/>
  <c r="AY154" i="27"/>
  <c r="AS154" i="27"/>
  <c r="AW154" i="27"/>
  <c r="AZ154" i="27"/>
  <c r="AR154" i="27"/>
  <c r="CK155" i="27"/>
  <c r="CI155" i="27"/>
  <c r="CG155" i="27"/>
  <c r="CD155" i="27"/>
  <c r="CC155" i="27"/>
  <c r="BN155" i="27"/>
  <c r="BC155" i="27"/>
  <c r="BH155" i="27" s="1"/>
  <c r="BK155" i="27"/>
  <c r="B155" i="27"/>
  <c r="BD155" i="27"/>
  <c r="C155" i="27"/>
  <c r="J155" i="27" s="1"/>
  <c r="CN155" i="27"/>
  <c r="G155" i="27"/>
  <c r="BA155" i="27"/>
  <c r="CE155" i="27"/>
  <c r="CJ155" i="27"/>
  <c r="BQ155" i="27"/>
  <c r="H155" i="27"/>
  <c r="CB155" i="27"/>
  <c r="D156" i="27"/>
  <c r="CF155" i="27"/>
  <c r="BZ155" i="27"/>
  <c r="I155" i="27"/>
  <c r="K155" i="27" s="1"/>
  <c r="AP155" i="27"/>
  <c r="CP154" i="27"/>
  <c r="CH154" i="27"/>
  <c r="BJ154" i="27"/>
  <c r="CQ154" i="27"/>
  <c r="CM154" i="27"/>
  <c r="BI154" i="27"/>
  <c r="A154" i="27"/>
  <c r="CR154" i="27"/>
  <c r="CT154" i="27"/>
  <c r="BL154" i="27"/>
  <c r="BM154" i="27" s="1"/>
  <c r="CS154" i="27"/>
  <c r="CL155" i="27" l="1"/>
  <c r="BE155" i="27"/>
  <c r="AK155" i="27"/>
  <c r="AL155" i="27"/>
  <c r="BY155" i="27"/>
  <c r="BB154" i="27"/>
  <c r="AN154" i="27"/>
  <c r="E155" i="27"/>
  <c r="AM155" i="27" s="1"/>
  <c r="CA155" i="27"/>
  <c r="BL155" i="27"/>
  <c r="BM155" i="27" s="1"/>
  <c r="A155" i="27"/>
  <c r="CQ155" i="27"/>
  <c r="CP155" i="27"/>
  <c r="CT155" i="27"/>
  <c r="CH155" i="27"/>
  <c r="BI155" i="27"/>
  <c r="BJ155" i="27"/>
  <c r="CR155" i="27"/>
  <c r="CS155" i="27"/>
  <c r="CM155" i="27"/>
  <c r="CC156" i="27"/>
  <c r="CF156" i="27"/>
  <c r="B156" i="27"/>
  <c r="CI156" i="27"/>
  <c r="BC156" i="27"/>
  <c r="BH156" i="27" s="1"/>
  <c r="BK156" i="27"/>
  <c r="AP156" i="27"/>
  <c r="CD156" i="27"/>
  <c r="G156" i="27"/>
  <c r="BA156" i="27"/>
  <c r="CE156" i="27"/>
  <c r="CK156" i="27"/>
  <c r="BN156" i="27"/>
  <c r="CJ156" i="27"/>
  <c r="BQ156" i="27"/>
  <c r="BZ156" i="27"/>
  <c r="I156" i="27"/>
  <c r="K156" i="27" s="1"/>
  <c r="BD156" i="27"/>
  <c r="CB156" i="27"/>
  <c r="D157" i="27"/>
  <c r="CN156" i="27"/>
  <c r="H156" i="27"/>
  <c r="C156" i="27"/>
  <c r="J156" i="27" s="1"/>
  <c r="CG156" i="27"/>
  <c r="AR155" i="27"/>
  <c r="AZ155" i="27"/>
  <c r="AY155" i="27"/>
  <c r="AQ155" i="27"/>
  <c r="AW155" i="27"/>
  <c r="AT155" i="27"/>
  <c r="AX155" i="27"/>
  <c r="AU155" i="27"/>
  <c r="AV155" i="27"/>
  <c r="AS155" i="27"/>
  <c r="CO154" i="27"/>
  <c r="BV154" i="27"/>
  <c r="AO154" i="27"/>
  <c r="L155" i="27"/>
  <c r="CA156" i="27" l="1"/>
  <c r="BE156" i="27"/>
  <c r="BY156" i="27"/>
  <c r="E156" i="27"/>
  <c r="AM156" i="27" s="1"/>
  <c r="CL156" i="27"/>
  <c r="BB155" i="27"/>
  <c r="AN155" i="27"/>
  <c r="AK156" i="27"/>
  <c r="AL156" i="27"/>
  <c r="L156" i="27"/>
  <c r="AW156" i="27"/>
  <c r="AV156" i="27"/>
  <c r="AY156" i="27"/>
  <c r="AU156" i="27"/>
  <c r="AQ156" i="27"/>
  <c r="AT156" i="27"/>
  <c r="AS156" i="27"/>
  <c r="AR156" i="27"/>
  <c r="AX156" i="27"/>
  <c r="AZ156" i="27"/>
  <c r="CR156" i="27"/>
  <c r="BI156" i="27"/>
  <c r="BL156" i="27"/>
  <c r="BM156" i="27" s="1"/>
  <c r="CQ156" i="27"/>
  <c r="CP156" i="27"/>
  <c r="CH156" i="27"/>
  <c r="A156" i="27"/>
  <c r="CM156" i="27"/>
  <c r="BJ156" i="27"/>
  <c r="CT156" i="27"/>
  <c r="CS156" i="27"/>
  <c r="BD157" i="27"/>
  <c r="CB157" i="27"/>
  <c r="CG157" i="27"/>
  <c r="C157" i="27"/>
  <c r="J157" i="27" s="1"/>
  <c r="CE157" i="27"/>
  <c r="BQ157" i="27"/>
  <c r="H157" i="27"/>
  <c r="B157" i="27"/>
  <c r="CK157" i="27"/>
  <c r="CI157" i="27"/>
  <c r="CN157" i="27"/>
  <c r="I157" i="27"/>
  <c r="K157" i="27" s="1"/>
  <c r="CC157" i="27"/>
  <c r="CF157" i="27"/>
  <c r="G157" i="27"/>
  <c r="BZ157" i="27"/>
  <c r="CJ157" i="27"/>
  <c r="BC157" i="27"/>
  <c r="BH157" i="27" s="1"/>
  <c r="BK157" i="27"/>
  <c r="AP157" i="27"/>
  <c r="CD157" i="27"/>
  <c r="BA157" i="27"/>
  <c r="BN157" i="27"/>
  <c r="D158" i="27"/>
  <c r="CO155" i="27"/>
  <c r="AO155" i="27"/>
  <c r="BV155" i="27"/>
  <c r="CL157" i="27" l="1"/>
  <c r="BE157" i="27"/>
  <c r="AK157" i="27"/>
  <c r="CA157" i="27"/>
  <c r="E157" i="27"/>
  <c r="AM157" i="27" s="1"/>
  <c r="BY157" i="27"/>
  <c r="BB156" i="27"/>
  <c r="AN156" i="27"/>
  <c r="AL157" i="27"/>
  <c r="L157" i="27"/>
  <c r="I158" i="27"/>
  <c r="K158" i="27" s="1"/>
  <c r="CC158" i="27"/>
  <c r="BZ158" i="27"/>
  <c r="BK158" i="27"/>
  <c r="BC158" i="27"/>
  <c r="BH158" i="27" s="1"/>
  <c r="C158" i="27"/>
  <c r="J158" i="27" s="1"/>
  <c r="BA158" i="27"/>
  <c r="CN158" i="27"/>
  <c r="CD158" i="27"/>
  <c r="G158" i="27"/>
  <c r="CG158" i="27"/>
  <c r="CF158" i="27"/>
  <c r="BN158" i="27"/>
  <c r="CJ158" i="27"/>
  <c r="AP158" i="27"/>
  <c r="BD158" i="27"/>
  <c r="CB158" i="27"/>
  <c r="B158" i="27"/>
  <c r="BE158" i="27" s="1"/>
  <c r="CK158" i="27"/>
  <c r="D159" i="27"/>
  <c r="CE158" i="27"/>
  <c r="CI158" i="27"/>
  <c r="BQ158" i="27"/>
  <c r="H158" i="27"/>
  <c r="AW157" i="27"/>
  <c r="AZ157" i="27"/>
  <c r="AV157" i="27"/>
  <c r="AR157" i="27"/>
  <c r="AU157" i="27"/>
  <c r="AT157" i="27"/>
  <c r="AS157" i="27"/>
  <c r="AX157" i="27"/>
  <c r="AY157" i="27"/>
  <c r="AQ157" i="27"/>
  <c r="CS157" i="27"/>
  <c r="CP157" i="27"/>
  <c r="CR157" i="27"/>
  <c r="BL157" i="27"/>
  <c r="BM157" i="27" s="1"/>
  <c r="CQ157" i="27"/>
  <c r="BI157" i="27"/>
  <c r="CT157" i="27"/>
  <c r="BJ157" i="27"/>
  <c r="A157" i="27"/>
  <c r="CM157" i="27"/>
  <c r="CH157" i="27"/>
  <c r="BV156" i="27"/>
  <c r="AO156" i="27"/>
  <c r="CO156" i="27"/>
  <c r="E158" i="27" l="1"/>
  <c r="AM158" i="27" s="1"/>
  <c r="AK158" i="27"/>
  <c r="BY158" i="27"/>
  <c r="CL158" i="27"/>
  <c r="AL158" i="27"/>
  <c r="CA158" i="27"/>
  <c r="BB157" i="27"/>
  <c r="AN157" i="27"/>
  <c r="B159" i="27"/>
  <c r="BE159" i="27" s="1"/>
  <c r="BC159" i="27"/>
  <c r="BH159" i="27" s="1"/>
  <c r="BZ159" i="27"/>
  <c r="CC159" i="27"/>
  <c r="CN159" i="27"/>
  <c r="CD159" i="27"/>
  <c r="G159" i="27"/>
  <c r="C159" i="27"/>
  <c r="J159" i="27" s="1"/>
  <c r="CB159" i="27"/>
  <c r="CK159" i="27"/>
  <c r="I159" i="27"/>
  <c r="K159" i="27" s="1"/>
  <c r="CF159" i="27"/>
  <c r="BN159" i="27"/>
  <c r="CI159" i="27"/>
  <c r="CJ159" i="27"/>
  <c r="AP159" i="27"/>
  <c r="BD159" i="27"/>
  <c r="D160" i="27"/>
  <c r="CE159" i="27"/>
  <c r="BK159" i="27"/>
  <c r="CG159" i="27"/>
  <c r="BQ159" i="27"/>
  <c r="H159" i="27"/>
  <c r="BA159" i="27"/>
  <c r="A158" i="27"/>
  <c r="BJ158" i="27"/>
  <c r="CH158" i="27"/>
  <c r="CM158" i="27"/>
  <c r="BI158" i="27"/>
  <c r="CP158" i="27"/>
  <c r="CT158" i="27"/>
  <c r="CQ158" i="27"/>
  <c r="CS158" i="27"/>
  <c r="CR158" i="27"/>
  <c r="BL158" i="27"/>
  <c r="BM158" i="27" s="1"/>
  <c r="AO157" i="27"/>
  <c r="CO157" i="27"/>
  <c r="BV157" i="27"/>
  <c r="L158" i="27"/>
  <c r="AV158" i="27"/>
  <c r="AQ158" i="27"/>
  <c r="AS158" i="27"/>
  <c r="AU158" i="27"/>
  <c r="AX158" i="27"/>
  <c r="AW158" i="27"/>
  <c r="AT158" i="27"/>
  <c r="AZ158" i="27"/>
  <c r="AR158" i="27"/>
  <c r="AY158" i="27"/>
  <c r="CL159" i="27" l="1"/>
  <c r="AL159" i="27"/>
  <c r="CA159" i="27"/>
  <c r="E159" i="27"/>
  <c r="AM159" i="27" s="1"/>
  <c r="BB158" i="27"/>
  <c r="AN158" i="27"/>
  <c r="AK159" i="27"/>
  <c r="BY159" i="27"/>
  <c r="L159" i="27"/>
  <c r="D161" i="27"/>
  <c r="AP160" i="27"/>
  <c r="BD160" i="27"/>
  <c r="CG160" i="27"/>
  <c r="CJ160" i="27"/>
  <c r="BZ160" i="27"/>
  <c r="CE160" i="27"/>
  <c r="BK160" i="27"/>
  <c r="C160" i="27"/>
  <c r="J160" i="27" s="1"/>
  <c r="BQ160" i="27"/>
  <c r="H160" i="27"/>
  <c r="BA160" i="27"/>
  <c r="I160" i="27"/>
  <c r="K160" i="27" s="1"/>
  <c r="CB160" i="27"/>
  <c r="CK160" i="27"/>
  <c r="BN160" i="27"/>
  <c r="B160" i="27"/>
  <c r="CC160" i="27"/>
  <c r="CN160" i="27"/>
  <c r="CD160" i="27"/>
  <c r="BC160" i="27"/>
  <c r="BH160" i="27" s="1"/>
  <c r="CF160" i="27"/>
  <c r="CI160" i="27"/>
  <c r="G160" i="27"/>
  <c r="AY159" i="27"/>
  <c r="AR159" i="27"/>
  <c r="AW159" i="27"/>
  <c r="AQ159" i="27"/>
  <c r="AT159" i="27"/>
  <c r="AX159" i="27"/>
  <c r="AV159" i="27"/>
  <c r="AU159" i="27"/>
  <c r="AS159" i="27"/>
  <c r="AZ159" i="27"/>
  <c r="BV158" i="27"/>
  <c r="AO158" i="27"/>
  <c r="CO158" i="27"/>
  <c r="CP159" i="27"/>
  <c r="A159" i="27"/>
  <c r="CH159" i="27"/>
  <c r="BL159" i="27"/>
  <c r="BM159" i="27" s="1"/>
  <c r="BI159" i="27"/>
  <c r="BJ159" i="27"/>
  <c r="CM159" i="27"/>
  <c r="CR159" i="27"/>
  <c r="CT159" i="27"/>
  <c r="CS159" i="27"/>
  <c r="CQ159" i="27"/>
  <c r="AL160" i="27" l="1"/>
  <c r="CA160" i="27"/>
  <c r="BE160" i="27"/>
  <c r="BY160" i="27"/>
  <c r="CL160" i="27"/>
  <c r="AK160" i="27"/>
  <c r="BB159" i="27"/>
  <c r="AN159" i="27"/>
  <c r="E160" i="27"/>
  <c r="AM160" i="27" s="1"/>
  <c r="L160" i="27"/>
  <c r="CO159" i="27"/>
  <c r="BV159" i="27"/>
  <c r="AO159" i="27"/>
  <c r="CR160" i="27"/>
  <c r="CP160" i="27"/>
  <c r="BL160" i="27"/>
  <c r="BM160" i="27" s="1"/>
  <c r="CH160" i="27"/>
  <c r="CQ160" i="27"/>
  <c r="BJ160" i="27"/>
  <c r="CS160" i="27"/>
  <c r="BI160" i="27"/>
  <c r="A160" i="27"/>
  <c r="CM160" i="27"/>
  <c r="CT160" i="27"/>
  <c r="C161" i="27"/>
  <c r="J161" i="27" s="1"/>
  <c r="BQ161" i="27"/>
  <c r="CB161" i="27"/>
  <c r="H161" i="27"/>
  <c r="CI161" i="27"/>
  <c r="CG161" i="27"/>
  <c r="I161" i="27"/>
  <c r="K161" i="27" s="1"/>
  <c r="BK161" i="27"/>
  <c r="B161" i="27"/>
  <c r="BE161" i="27" s="1"/>
  <c r="CK161" i="27"/>
  <c r="BA161" i="27"/>
  <c r="CN161" i="27"/>
  <c r="CC161" i="27"/>
  <c r="CF161" i="27"/>
  <c r="BC161" i="27"/>
  <c r="BH161" i="27" s="1"/>
  <c r="CD161" i="27"/>
  <c r="D162" i="27"/>
  <c r="AP161" i="27"/>
  <c r="G161" i="27"/>
  <c r="BN161" i="27"/>
  <c r="BZ161" i="27"/>
  <c r="CE161" i="27"/>
  <c r="CJ161" i="27"/>
  <c r="BD161" i="27"/>
  <c r="AR160" i="27"/>
  <c r="AU160" i="27"/>
  <c r="AY160" i="27"/>
  <c r="AQ160" i="27"/>
  <c r="AX160" i="27"/>
  <c r="AW160" i="27"/>
  <c r="AV160" i="27"/>
  <c r="AT160" i="27"/>
  <c r="AZ160" i="27"/>
  <c r="AS160" i="27"/>
  <c r="CL161" i="27" l="1"/>
  <c r="AK161" i="27"/>
  <c r="AL161" i="27"/>
  <c r="E161" i="27"/>
  <c r="AM161" i="27" s="1"/>
  <c r="BB160" i="27"/>
  <c r="AN160" i="27"/>
  <c r="BY161" i="27"/>
  <c r="CA161" i="27"/>
  <c r="CJ162" i="27"/>
  <c r="CF162" i="27"/>
  <c r="CK162" i="27"/>
  <c r="CN162" i="27"/>
  <c r="I162" i="27"/>
  <c r="K162" i="27" s="1"/>
  <c r="CB162" i="27"/>
  <c r="D163" i="27"/>
  <c r="AP162" i="27"/>
  <c r="CC162" i="27"/>
  <c r="BD162" i="27"/>
  <c r="B162" i="27"/>
  <c r="BZ162" i="27"/>
  <c r="BC162" i="27"/>
  <c r="BH162" i="27" s="1"/>
  <c r="C162" i="27"/>
  <c r="J162" i="27" s="1"/>
  <c r="CD162" i="27"/>
  <c r="G162" i="27"/>
  <c r="BQ162" i="27"/>
  <c r="BK162" i="27"/>
  <c r="CI162" i="27"/>
  <c r="CG162" i="27"/>
  <c r="BN162" i="27"/>
  <c r="CE162" i="27"/>
  <c r="BA162" i="27"/>
  <c r="H162" i="27"/>
  <c r="AX161" i="27"/>
  <c r="AR161" i="27"/>
  <c r="AW161" i="27"/>
  <c r="AU161" i="27"/>
  <c r="AS161" i="27"/>
  <c r="AT161" i="27"/>
  <c r="AY161" i="27"/>
  <c r="AZ161" i="27"/>
  <c r="AV161" i="27"/>
  <c r="AQ161" i="27"/>
  <c r="BJ161" i="27"/>
  <c r="CP161" i="27"/>
  <c r="CH161" i="27"/>
  <c r="CT161" i="27"/>
  <c r="BI161" i="27"/>
  <c r="CR161" i="27"/>
  <c r="A161" i="27"/>
  <c r="CM161" i="27"/>
  <c r="CQ161" i="27"/>
  <c r="BL161" i="27"/>
  <c r="BM161" i="27" s="1"/>
  <c r="CS161" i="27"/>
  <c r="CO160" i="27"/>
  <c r="BV160" i="27"/>
  <c r="AO160" i="27"/>
  <c r="L161" i="27"/>
  <c r="CA162" i="27" l="1"/>
  <c r="BE162" i="27"/>
  <c r="BY162" i="27"/>
  <c r="BB161" i="27"/>
  <c r="AN161" i="27"/>
  <c r="AK162" i="27"/>
  <c r="CL162" i="27"/>
  <c r="E162" i="27"/>
  <c r="AM162" i="27" s="1"/>
  <c r="AL162" i="27"/>
  <c r="L162" i="27"/>
  <c r="AY162" i="27"/>
  <c r="AQ162" i="27"/>
  <c r="AV162" i="27"/>
  <c r="AZ162" i="27"/>
  <c r="AR162" i="27"/>
  <c r="AX162" i="27"/>
  <c r="AT162" i="27"/>
  <c r="AU162" i="27"/>
  <c r="AS162" i="27"/>
  <c r="AW162" i="27"/>
  <c r="A162" i="27"/>
  <c r="CR162" i="27"/>
  <c r="CT162" i="27"/>
  <c r="CQ162" i="27"/>
  <c r="CM162" i="27"/>
  <c r="BL162" i="27"/>
  <c r="BM162" i="27" s="1"/>
  <c r="CS162" i="27"/>
  <c r="CP162" i="27"/>
  <c r="BJ162" i="27"/>
  <c r="BI162" i="27"/>
  <c r="CH162" i="27"/>
  <c r="C163" i="27"/>
  <c r="J163" i="27" s="1"/>
  <c r="AP163" i="27"/>
  <c r="B163" i="27"/>
  <c r="CK163" i="27"/>
  <c r="CI163" i="27"/>
  <c r="CG163" i="27"/>
  <c r="CD163" i="27"/>
  <c r="BC163" i="27"/>
  <c r="BH163" i="27" s="1"/>
  <c r="BK163" i="27"/>
  <c r="BD163" i="27"/>
  <c r="D164" i="27"/>
  <c r="BZ163" i="27"/>
  <c r="CF163" i="27"/>
  <c r="CC163" i="27"/>
  <c r="BN163" i="27"/>
  <c r="G163" i="27"/>
  <c r="BA163" i="27"/>
  <c r="CE163" i="27"/>
  <c r="CB163" i="27"/>
  <c r="CN163" i="27"/>
  <c r="I163" i="27"/>
  <c r="K163" i="27" s="1"/>
  <c r="CJ163" i="27"/>
  <c r="BQ163" i="27"/>
  <c r="H163" i="27"/>
  <c r="AO161" i="27"/>
  <c r="BV161" i="27"/>
  <c r="CO161" i="27"/>
  <c r="E163" i="27" l="1"/>
  <c r="AM163" i="27" s="1"/>
  <c r="BE163" i="27"/>
  <c r="AL163" i="27"/>
  <c r="CL163" i="27"/>
  <c r="BY163" i="27"/>
  <c r="CA163" i="27"/>
  <c r="BB162" i="27"/>
  <c r="AN162" i="27"/>
  <c r="AK163" i="27"/>
  <c r="AW163" i="27"/>
  <c r="AU163" i="27"/>
  <c r="AV163" i="27"/>
  <c r="AT163" i="27"/>
  <c r="AX163" i="27"/>
  <c r="AS163" i="27"/>
  <c r="AY163" i="27"/>
  <c r="AZ163" i="27"/>
  <c r="AR163" i="27"/>
  <c r="AQ163" i="27"/>
  <c r="AO162" i="27"/>
  <c r="CO162" i="27"/>
  <c r="BV162" i="27"/>
  <c r="CH163" i="27"/>
  <c r="BJ163" i="27"/>
  <c r="CP163" i="27"/>
  <c r="BI163" i="27"/>
  <c r="CS163" i="27"/>
  <c r="CM163" i="27"/>
  <c r="CR163" i="27"/>
  <c r="CT163" i="27"/>
  <c r="BL163" i="27"/>
  <c r="BM163" i="27" s="1"/>
  <c r="A163" i="27"/>
  <c r="CQ163" i="27"/>
  <c r="CC164" i="27"/>
  <c r="CF164" i="27"/>
  <c r="B164" i="27"/>
  <c r="BC164" i="27"/>
  <c r="BH164" i="27" s="1"/>
  <c r="BK164" i="27"/>
  <c r="AP164" i="27"/>
  <c r="CD164" i="27"/>
  <c r="G164" i="27"/>
  <c r="BA164" i="27"/>
  <c r="CE164" i="27"/>
  <c r="CK164" i="27"/>
  <c r="BN164" i="27"/>
  <c r="CJ164" i="27"/>
  <c r="BQ164" i="27"/>
  <c r="H164" i="27"/>
  <c r="BD164" i="27"/>
  <c r="CB164" i="27"/>
  <c r="D165" i="27"/>
  <c r="C164" i="27"/>
  <c r="J164" i="27" s="1"/>
  <c r="CI164" i="27"/>
  <c r="BZ164" i="27"/>
  <c r="I164" i="27"/>
  <c r="K164" i="27" s="1"/>
  <c r="CG164" i="27"/>
  <c r="CN164" i="27"/>
  <c r="L163" i="27"/>
  <c r="AL164" i="27" l="1"/>
  <c r="CL164" i="27"/>
  <c r="BE164" i="27"/>
  <c r="BY164" i="27"/>
  <c r="E164" i="27"/>
  <c r="AM164" i="27" s="1"/>
  <c r="CA164" i="27"/>
  <c r="AK164" i="27"/>
  <c r="BB163" i="27"/>
  <c r="AN163" i="27"/>
  <c r="L164" i="27"/>
  <c r="BV163" i="27"/>
  <c r="CO163" i="27"/>
  <c r="AO163" i="27"/>
  <c r="BD165" i="27"/>
  <c r="CB165" i="27"/>
  <c r="CG165" i="27"/>
  <c r="C165" i="27"/>
  <c r="J165" i="27" s="1"/>
  <c r="CK165" i="27"/>
  <c r="CJ165" i="27"/>
  <c r="CE165" i="27"/>
  <c r="CI165" i="27"/>
  <c r="D166" i="27"/>
  <c r="BQ165" i="27"/>
  <c r="H165" i="27"/>
  <c r="B165" i="27"/>
  <c r="CN165" i="27"/>
  <c r="BN165" i="27"/>
  <c r="I165" i="27"/>
  <c r="K165" i="27" s="1"/>
  <c r="CC165" i="27"/>
  <c r="CF165" i="27"/>
  <c r="G165" i="27"/>
  <c r="BC165" i="27"/>
  <c r="BH165" i="27" s="1"/>
  <c r="BK165" i="27"/>
  <c r="AP165" i="27"/>
  <c r="CD165" i="27"/>
  <c r="BA165" i="27"/>
  <c r="BZ165" i="27"/>
  <c r="CR164" i="27"/>
  <c r="BI164" i="27"/>
  <c r="CP164" i="27"/>
  <c r="CM164" i="27"/>
  <c r="BL164" i="27"/>
  <c r="BM164" i="27" s="1"/>
  <c r="CQ164" i="27"/>
  <c r="CS164" i="27"/>
  <c r="CH164" i="27"/>
  <c r="BJ164" i="27"/>
  <c r="CT164" i="27"/>
  <c r="A164" i="27"/>
  <c r="AZ164" i="27"/>
  <c r="AR164" i="27"/>
  <c r="AX164" i="27"/>
  <c r="AW164" i="27"/>
  <c r="AV164" i="27"/>
  <c r="AQ164" i="27"/>
  <c r="AS164" i="27"/>
  <c r="AU164" i="27"/>
  <c r="AY164" i="27"/>
  <c r="AT164" i="27"/>
  <c r="CA165" i="27" l="1"/>
  <c r="BE165" i="27"/>
  <c r="AK165" i="27"/>
  <c r="CL165" i="27"/>
  <c r="AL165" i="27"/>
  <c r="E165" i="27"/>
  <c r="AM165" i="27" s="1"/>
  <c r="BB164" i="27"/>
  <c r="AN164" i="27"/>
  <c r="BY165" i="27"/>
  <c r="L165" i="27"/>
  <c r="CE166" i="27"/>
  <c r="CI166" i="27"/>
  <c r="BQ166" i="27"/>
  <c r="H166" i="27"/>
  <c r="CC166" i="27"/>
  <c r="BZ166" i="27"/>
  <c r="BA166" i="27"/>
  <c r="AP166" i="27"/>
  <c r="CB166" i="27"/>
  <c r="CK166" i="27"/>
  <c r="D167" i="27"/>
  <c r="BK166" i="27"/>
  <c r="I166" i="27"/>
  <c r="K166" i="27" s="1"/>
  <c r="BD166" i="27"/>
  <c r="BC166" i="27"/>
  <c r="BH166" i="27" s="1"/>
  <c r="C166" i="27"/>
  <c r="J166" i="27" s="1"/>
  <c r="B166" i="27"/>
  <c r="CN166" i="27"/>
  <c r="CD166" i="27"/>
  <c r="G166" i="27"/>
  <c r="CG166" i="27"/>
  <c r="CF166" i="27"/>
  <c r="BN166" i="27"/>
  <c r="CJ166" i="27"/>
  <c r="BY166" i="27"/>
  <c r="BV164" i="27"/>
  <c r="AO164" i="27"/>
  <c r="CO164" i="27"/>
  <c r="CR165" i="27"/>
  <c r="BL165" i="27"/>
  <c r="BM165" i="27" s="1"/>
  <c r="BI165" i="27"/>
  <c r="CS165" i="27"/>
  <c r="CQ165" i="27"/>
  <c r="A165" i="27"/>
  <c r="BJ165" i="27"/>
  <c r="CM165" i="27"/>
  <c r="CP165" i="27"/>
  <c r="CT165" i="27"/>
  <c r="CH165" i="27"/>
  <c r="AY165" i="27"/>
  <c r="AQ165" i="27"/>
  <c r="AW165" i="27"/>
  <c r="AZ165" i="27"/>
  <c r="AX165" i="27"/>
  <c r="AV165" i="27"/>
  <c r="AR165" i="27"/>
  <c r="AS165" i="27"/>
  <c r="AU165" i="27"/>
  <c r="AT165" i="27"/>
  <c r="CL166" i="27" l="1"/>
  <c r="BE166" i="27"/>
  <c r="AL166" i="27"/>
  <c r="BB165" i="27"/>
  <c r="AN165" i="27"/>
  <c r="CA166" i="27"/>
  <c r="AK166" i="27"/>
  <c r="E166" i="27"/>
  <c r="AM166" i="27" s="1"/>
  <c r="A166" i="27"/>
  <c r="BJ166" i="27"/>
  <c r="CM166" i="27"/>
  <c r="BI166" i="27"/>
  <c r="CT166" i="27"/>
  <c r="CQ166" i="27"/>
  <c r="CS166" i="27"/>
  <c r="CR166" i="27"/>
  <c r="BL166" i="27"/>
  <c r="BM166" i="27" s="1"/>
  <c r="CP166" i="27"/>
  <c r="CH166" i="27"/>
  <c r="BQ167" i="27"/>
  <c r="H167" i="27"/>
  <c r="BA167" i="27"/>
  <c r="CG167" i="27"/>
  <c r="CK167" i="27"/>
  <c r="I167" i="27"/>
  <c r="K167" i="27" s="1"/>
  <c r="CC167" i="27"/>
  <c r="D168" i="27"/>
  <c r="B167" i="27"/>
  <c r="BC167" i="27"/>
  <c r="BH167" i="27" s="1"/>
  <c r="BZ167" i="27"/>
  <c r="CN167" i="27"/>
  <c r="CD167" i="27"/>
  <c r="G167" i="27"/>
  <c r="C167" i="27"/>
  <c r="J167" i="27" s="1"/>
  <c r="CF167" i="27"/>
  <c r="BN167" i="27"/>
  <c r="CI167" i="27"/>
  <c r="CJ167" i="27"/>
  <c r="AP167" i="27"/>
  <c r="BD167" i="27"/>
  <c r="CB167" i="27"/>
  <c r="CE167" i="27"/>
  <c r="BK167" i="27"/>
  <c r="AV166" i="27"/>
  <c r="AU166" i="27"/>
  <c r="AT166" i="27"/>
  <c r="AZ166" i="27"/>
  <c r="AR166" i="27"/>
  <c r="AW166" i="27"/>
  <c r="AY166" i="27"/>
  <c r="AX166" i="27"/>
  <c r="AQ166" i="27"/>
  <c r="AS166" i="27"/>
  <c r="L166" i="27"/>
  <c r="AO165" i="27"/>
  <c r="CO165" i="27"/>
  <c r="BV165" i="27"/>
  <c r="CA167" i="27" l="1"/>
  <c r="BE167" i="27"/>
  <c r="CL167" i="27"/>
  <c r="E167" i="27"/>
  <c r="AM167" i="27" s="1"/>
  <c r="BB166" i="27"/>
  <c r="AN166" i="27"/>
  <c r="BY167" i="27"/>
  <c r="AL167" i="27"/>
  <c r="AK167" i="27"/>
  <c r="L167" i="27"/>
  <c r="BI167" i="27"/>
  <c r="BJ167" i="27"/>
  <c r="A167" i="27"/>
  <c r="CR167" i="27"/>
  <c r="CT167" i="27"/>
  <c r="CM167" i="27"/>
  <c r="BL167" i="27"/>
  <c r="BM167" i="27" s="1"/>
  <c r="CS167" i="27"/>
  <c r="CP167" i="27"/>
  <c r="CQ167" i="27"/>
  <c r="CH167" i="27"/>
  <c r="B168" i="27"/>
  <c r="BE168" i="27" s="1"/>
  <c r="CC168" i="27"/>
  <c r="CN168" i="27"/>
  <c r="CD168" i="27"/>
  <c r="BC168" i="27"/>
  <c r="BH168" i="27" s="1"/>
  <c r="AP168" i="27"/>
  <c r="BD168" i="27"/>
  <c r="CF168" i="27"/>
  <c r="BN168" i="27"/>
  <c r="CI168" i="27"/>
  <c r="G168" i="27"/>
  <c r="D169" i="27"/>
  <c r="BZ168" i="27"/>
  <c r="CE168" i="27"/>
  <c r="BK168" i="27"/>
  <c r="CG168" i="27"/>
  <c r="CJ168" i="27"/>
  <c r="C168" i="27"/>
  <c r="J168" i="27" s="1"/>
  <c r="BQ168" i="27"/>
  <c r="H168" i="27"/>
  <c r="BA168" i="27"/>
  <c r="I168" i="27"/>
  <c r="K168" i="27" s="1"/>
  <c r="CB168" i="27"/>
  <c r="CK168" i="27"/>
  <c r="AU167" i="27"/>
  <c r="AS167" i="27"/>
  <c r="AR167" i="27"/>
  <c r="AZ167" i="27"/>
  <c r="AY167" i="27"/>
  <c r="AQ167" i="27"/>
  <c r="AT167" i="27"/>
  <c r="AW167" i="27"/>
  <c r="AX167" i="27"/>
  <c r="AV167" i="27"/>
  <c r="BV166" i="27"/>
  <c r="AO166" i="27"/>
  <c r="CO166" i="27"/>
  <c r="E168" i="27" l="1"/>
  <c r="AM168" i="27" s="1"/>
  <c r="BY168" i="27"/>
  <c r="CA168" i="27"/>
  <c r="AL168" i="27"/>
  <c r="CL168" i="27"/>
  <c r="AK168" i="27"/>
  <c r="BB167" i="27"/>
  <c r="AN167" i="27"/>
  <c r="L168" i="27"/>
  <c r="AR168" i="27"/>
  <c r="AU168" i="27"/>
  <c r="AY168" i="27"/>
  <c r="AQ168" i="27"/>
  <c r="AX168" i="27"/>
  <c r="AT168" i="27"/>
  <c r="AZ168" i="27"/>
  <c r="AW168" i="27"/>
  <c r="AV168" i="27"/>
  <c r="AS168" i="27"/>
  <c r="A168" i="27"/>
  <c r="CM168" i="27"/>
  <c r="CT168" i="27"/>
  <c r="CR168" i="27"/>
  <c r="CS168" i="27"/>
  <c r="BI168" i="27"/>
  <c r="CP168" i="27"/>
  <c r="BL168" i="27"/>
  <c r="BM168" i="27" s="1"/>
  <c r="CH168" i="27"/>
  <c r="CQ168" i="27"/>
  <c r="BJ168" i="27"/>
  <c r="C169" i="27"/>
  <c r="J169" i="27" s="1"/>
  <c r="BQ169" i="27"/>
  <c r="CB169" i="27"/>
  <c r="H169" i="27"/>
  <c r="CI169" i="27"/>
  <c r="CG169" i="27"/>
  <c r="I169" i="27"/>
  <c r="K169" i="27" s="1"/>
  <c r="BK169" i="27"/>
  <c r="B169" i="27"/>
  <c r="CK169" i="27"/>
  <c r="AP169" i="27"/>
  <c r="BD169" i="27"/>
  <c r="BZ169" i="27"/>
  <c r="CJ169" i="27"/>
  <c r="BA169" i="27"/>
  <c r="CN169" i="27"/>
  <c r="CC169" i="27"/>
  <c r="CD169" i="27"/>
  <c r="CF169" i="27"/>
  <c r="BC169" i="27"/>
  <c r="BH169" i="27" s="1"/>
  <c r="BN169" i="27"/>
  <c r="D170" i="27"/>
  <c r="G169" i="27"/>
  <c r="CE169" i="27"/>
  <c r="CO167" i="27"/>
  <c r="BV167" i="27"/>
  <c r="AO167" i="27"/>
  <c r="E169" i="27" l="1"/>
  <c r="AM169" i="27" s="1"/>
  <c r="BE169" i="27"/>
  <c r="AK169" i="27"/>
  <c r="BY169" i="27"/>
  <c r="CL169" i="27"/>
  <c r="AL169" i="27"/>
  <c r="CA169" i="27"/>
  <c r="BB168" i="27"/>
  <c r="AN168" i="27"/>
  <c r="L169" i="27"/>
  <c r="BZ170" i="27"/>
  <c r="BC170" i="27"/>
  <c r="BH170" i="27" s="1"/>
  <c r="C170" i="27"/>
  <c r="J170" i="27" s="1"/>
  <c r="CD170" i="27"/>
  <c r="G170" i="27"/>
  <c r="BQ170" i="27"/>
  <c r="CI170" i="27"/>
  <c r="CG170" i="27"/>
  <c r="BN170" i="27"/>
  <c r="CE170" i="27"/>
  <c r="BD170" i="27"/>
  <c r="CF170" i="27"/>
  <c r="CK170" i="27"/>
  <c r="CB170" i="27"/>
  <c r="AP170" i="27"/>
  <c r="CC170" i="27"/>
  <c r="CJ170" i="27"/>
  <c r="BK170" i="27"/>
  <c r="B170" i="27"/>
  <c r="D171" i="27"/>
  <c r="BA170" i="27"/>
  <c r="CN170" i="27"/>
  <c r="H170" i="27"/>
  <c r="I170" i="27"/>
  <c r="K170" i="27" s="1"/>
  <c r="CM169" i="27"/>
  <c r="CS169" i="27"/>
  <c r="CP169" i="27"/>
  <c r="CQ169" i="27"/>
  <c r="CR169" i="27"/>
  <c r="BL169" i="27"/>
  <c r="BM169" i="27" s="1"/>
  <c r="BI169" i="27"/>
  <c r="A169" i="27"/>
  <c r="CH169" i="27"/>
  <c r="CT169" i="27"/>
  <c r="BJ169" i="27"/>
  <c r="AO168" i="27"/>
  <c r="BV168" i="27"/>
  <c r="CO168" i="27"/>
  <c r="AS169" i="27"/>
  <c r="AT169" i="27"/>
  <c r="AZ169" i="27"/>
  <c r="AV169" i="27"/>
  <c r="AY169" i="27"/>
  <c r="AR169" i="27"/>
  <c r="AU169" i="27"/>
  <c r="AQ169" i="27"/>
  <c r="AX169" i="27"/>
  <c r="AW169" i="27"/>
  <c r="CL170" i="27" l="1"/>
  <c r="BE170" i="27"/>
  <c r="AK170" i="27"/>
  <c r="BB169" i="27"/>
  <c r="AN169" i="27"/>
  <c r="BY170" i="27"/>
  <c r="CA170" i="27"/>
  <c r="AL170" i="27"/>
  <c r="E170" i="27"/>
  <c r="AM170" i="27" s="1"/>
  <c r="BI170" i="27"/>
  <c r="A170" i="27"/>
  <c r="BJ170" i="27"/>
  <c r="CR170" i="27"/>
  <c r="CT170" i="27"/>
  <c r="BL170" i="27"/>
  <c r="BM170" i="27" s="1"/>
  <c r="CS170" i="27"/>
  <c r="CQ170" i="27"/>
  <c r="CM170" i="27"/>
  <c r="CP170" i="27"/>
  <c r="CH170" i="27"/>
  <c r="L170" i="27"/>
  <c r="AO169" i="27"/>
  <c r="CO169" i="27"/>
  <c r="BV169" i="27"/>
  <c r="AT170" i="27"/>
  <c r="AU170" i="27"/>
  <c r="AS170" i="27"/>
  <c r="AW170" i="27"/>
  <c r="AV170" i="27"/>
  <c r="AZ170" i="27"/>
  <c r="AR170" i="27"/>
  <c r="AY170" i="27"/>
  <c r="AQ170" i="27"/>
  <c r="AX170" i="27"/>
  <c r="CK171" i="27"/>
  <c r="CI171" i="27"/>
  <c r="CG171" i="27"/>
  <c r="CD171" i="27"/>
  <c r="CC171" i="27"/>
  <c r="BN171" i="27"/>
  <c r="C171" i="27"/>
  <c r="J171" i="27" s="1"/>
  <c r="AP171" i="27"/>
  <c r="BC171" i="27"/>
  <c r="BH171" i="27" s="1"/>
  <c r="BK171" i="27"/>
  <c r="B171" i="27"/>
  <c r="BD171" i="27"/>
  <c r="G171" i="27"/>
  <c r="BA171" i="27"/>
  <c r="CE171" i="27"/>
  <c r="CJ171" i="27"/>
  <c r="BQ171" i="27"/>
  <c r="H171" i="27"/>
  <c r="CB171" i="27"/>
  <c r="D172" i="27"/>
  <c r="CN171" i="27"/>
  <c r="BZ171" i="27"/>
  <c r="I171" i="27"/>
  <c r="K171" i="27" s="1"/>
  <c r="CF171" i="27"/>
  <c r="CL171" i="27" l="1"/>
  <c r="BE171" i="27"/>
  <c r="E171" i="27"/>
  <c r="AM171" i="27" s="1"/>
  <c r="BB170" i="27"/>
  <c r="AN170" i="27"/>
  <c r="BY171" i="27"/>
  <c r="AK171" i="27"/>
  <c r="CA171" i="27"/>
  <c r="AL171" i="27"/>
  <c r="L171" i="27"/>
  <c r="CH171" i="27"/>
  <c r="BJ171" i="27"/>
  <c r="BL171" i="27"/>
  <c r="BM171" i="27" s="1"/>
  <c r="CP171" i="27"/>
  <c r="BI171" i="27"/>
  <c r="CS171" i="27"/>
  <c r="CM171" i="27"/>
  <c r="CQ171" i="27"/>
  <c r="CR171" i="27"/>
  <c r="CT171" i="27"/>
  <c r="A171" i="27"/>
  <c r="CC172" i="27"/>
  <c r="CF172" i="27"/>
  <c r="B172" i="27"/>
  <c r="BC172" i="27"/>
  <c r="BH172" i="27" s="1"/>
  <c r="BK172" i="27"/>
  <c r="AP172" i="27"/>
  <c r="I172" i="27"/>
  <c r="K172" i="27" s="1"/>
  <c r="CI172" i="27"/>
  <c r="CN172" i="27"/>
  <c r="CD172" i="27"/>
  <c r="G172" i="27"/>
  <c r="BA172" i="27"/>
  <c r="CE172" i="27"/>
  <c r="H172" i="27"/>
  <c r="CG172" i="27"/>
  <c r="BN172" i="27"/>
  <c r="CJ172" i="27"/>
  <c r="BQ172" i="27"/>
  <c r="BD172" i="27"/>
  <c r="CB172" i="27"/>
  <c r="D173" i="27"/>
  <c r="BZ172" i="27"/>
  <c r="C172" i="27"/>
  <c r="J172" i="27" s="1"/>
  <c r="CK172" i="27"/>
  <c r="AW171" i="27"/>
  <c r="AU171" i="27"/>
  <c r="AV171" i="27"/>
  <c r="AT171" i="27"/>
  <c r="AX171" i="27"/>
  <c r="AY171" i="27"/>
  <c r="AS171" i="27"/>
  <c r="AZ171" i="27"/>
  <c r="AR171" i="27"/>
  <c r="AQ171" i="27"/>
  <c r="AO170" i="27"/>
  <c r="CO170" i="27"/>
  <c r="BV170" i="27"/>
  <c r="CL172" i="27" l="1"/>
  <c r="BE172" i="27"/>
  <c r="BY172" i="27"/>
  <c r="AL172" i="27"/>
  <c r="CA172" i="27"/>
  <c r="BB171" i="27"/>
  <c r="AN171" i="27"/>
  <c r="E172" i="27"/>
  <c r="AM172" i="27" s="1"/>
  <c r="AK172" i="27"/>
  <c r="CT172" i="27"/>
  <c r="A172" i="27"/>
  <c r="CS172" i="27"/>
  <c r="CM172" i="27"/>
  <c r="CR172" i="27"/>
  <c r="BI172" i="27"/>
  <c r="BL172" i="27"/>
  <c r="BM172" i="27" s="1"/>
  <c r="BJ172" i="27"/>
  <c r="CQ172" i="27"/>
  <c r="CH172" i="27"/>
  <c r="CP172" i="27"/>
  <c r="CD173" i="27"/>
  <c r="G173" i="27"/>
  <c r="BA173" i="27"/>
  <c r="D174" i="27"/>
  <c r="BN173" i="27"/>
  <c r="CJ173" i="27"/>
  <c r="C173" i="27"/>
  <c r="J173" i="27" s="1"/>
  <c r="BD173" i="27"/>
  <c r="CB173" i="27"/>
  <c r="CG173" i="27"/>
  <c r="BZ173" i="27"/>
  <c r="CE173" i="27"/>
  <c r="AL173" i="27"/>
  <c r="AP173" i="27"/>
  <c r="BQ173" i="27"/>
  <c r="H173" i="27"/>
  <c r="B173" i="27"/>
  <c r="I173" i="27"/>
  <c r="K173" i="27" s="1"/>
  <c r="CC173" i="27"/>
  <c r="CF173" i="27"/>
  <c r="CK173" i="27"/>
  <c r="CI173" i="27"/>
  <c r="CN173" i="27"/>
  <c r="BC173" i="27"/>
  <c r="BH173" i="27" s="1"/>
  <c r="BK173" i="27"/>
  <c r="L172" i="27"/>
  <c r="AT172" i="27"/>
  <c r="AS172" i="27"/>
  <c r="AZ172" i="27"/>
  <c r="AR172" i="27"/>
  <c r="AX172" i="27"/>
  <c r="AV172" i="27"/>
  <c r="AW172" i="27"/>
  <c r="AY172" i="27"/>
  <c r="AU172" i="27"/>
  <c r="AQ172" i="27"/>
  <c r="CO171" i="27"/>
  <c r="AO171" i="27"/>
  <c r="BV171" i="27"/>
  <c r="BY173" i="27" l="1"/>
  <c r="E173" i="27"/>
  <c r="AM173" i="27" s="1"/>
  <c r="BE173" i="27"/>
  <c r="CL173" i="27"/>
  <c r="BB172" i="27"/>
  <c r="AN172" i="27"/>
  <c r="CA173" i="27"/>
  <c r="AK173" i="27"/>
  <c r="CM173" i="27"/>
  <c r="CP173" i="27"/>
  <c r="BI173" i="27"/>
  <c r="CT173" i="27"/>
  <c r="CH173" i="27"/>
  <c r="CS173" i="27"/>
  <c r="BJ173" i="27"/>
  <c r="CR173" i="27"/>
  <c r="BL173" i="27"/>
  <c r="BM173" i="27" s="1"/>
  <c r="CQ173" i="27"/>
  <c r="A173" i="27"/>
  <c r="CK174" i="27"/>
  <c r="D175" i="27"/>
  <c r="BK174" i="27"/>
  <c r="CI174" i="27"/>
  <c r="I174" i="27"/>
  <c r="K174" i="27" s="1"/>
  <c r="CC174" i="27"/>
  <c r="BZ174" i="27"/>
  <c r="BA174" i="27"/>
  <c r="BC174" i="27"/>
  <c r="BH174" i="27" s="1"/>
  <c r="C174" i="27"/>
  <c r="J174" i="27" s="1"/>
  <c r="CE174" i="27"/>
  <c r="BQ174" i="27"/>
  <c r="CN174" i="27"/>
  <c r="CD174" i="27"/>
  <c r="G174" i="27"/>
  <c r="CG174" i="27"/>
  <c r="CF174" i="27"/>
  <c r="BN174" i="27"/>
  <c r="CJ174" i="27"/>
  <c r="AP174" i="27"/>
  <c r="BD174" i="27"/>
  <c r="B174" i="27"/>
  <c r="CB174" i="27"/>
  <c r="H174" i="27"/>
  <c r="AY173" i="27"/>
  <c r="AQ173" i="27"/>
  <c r="AX173" i="27"/>
  <c r="AT173" i="27"/>
  <c r="AS173" i="27"/>
  <c r="AW173" i="27"/>
  <c r="AR173" i="27"/>
  <c r="AV173" i="27"/>
  <c r="AZ173" i="27"/>
  <c r="AU173" i="27"/>
  <c r="AO172" i="27"/>
  <c r="BV172" i="27"/>
  <c r="CO172" i="27"/>
  <c r="L173" i="27"/>
  <c r="CL174" i="27" l="1"/>
  <c r="BE174" i="27"/>
  <c r="BY174" i="27"/>
  <c r="AL174" i="27"/>
  <c r="AK174" i="27"/>
  <c r="CA174" i="27"/>
  <c r="E174" i="27"/>
  <c r="AM174" i="27" s="1"/>
  <c r="BB173" i="27"/>
  <c r="AN173" i="27"/>
  <c r="A174" i="27"/>
  <c r="BJ174" i="27"/>
  <c r="CM174" i="27"/>
  <c r="BI174" i="27"/>
  <c r="CT174" i="27"/>
  <c r="CQ174" i="27"/>
  <c r="CS174" i="27"/>
  <c r="CR174" i="27"/>
  <c r="CH174" i="27"/>
  <c r="BL174" i="27"/>
  <c r="BM174" i="27" s="1"/>
  <c r="CP174" i="27"/>
  <c r="BQ175" i="27"/>
  <c r="H175" i="27"/>
  <c r="BA175" i="27"/>
  <c r="CG175" i="27"/>
  <c r="CK175" i="27"/>
  <c r="I175" i="27"/>
  <c r="K175" i="27" s="1"/>
  <c r="CC175" i="27"/>
  <c r="D176" i="27"/>
  <c r="B175" i="27"/>
  <c r="BE175" i="27" s="1"/>
  <c r="BC175" i="27"/>
  <c r="BH175" i="27" s="1"/>
  <c r="BZ175" i="27"/>
  <c r="CB175" i="27"/>
  <c r="CN175" i="27"/>
  <c r="CD175" i="27"/>
  <c r="G175" i="27"/>
  <c r="C175" i="27"/>
  <c r="J175" i="27" s="1"/>
  <c r="BK175" i="27"/>
  <c r="CF175" i="27"/>
  <c r="BN175" i="27"/>
  <c r="CI175" i="27"/>
  <c r="AP175" i="27"/>
  <c r="BD175" i="27"/>
  <c r="CJ175" i="27"/>
  <c r="CE175" i="27"/>
  <c r="AV174" i="27"/>
  <c r="AU174" i="27"/>
  <c r="AT174" i="27"/>
  <c r="AZ174" i="27"/>
  <c r="AR174" i="27"/>
  <c r="AQ174" i="27"/>
  <c r="AW174" i="27"/>
  <c r="AS174" i="27"/>
  <c r="AY174" i="27"/>
  <c r="AX174" i="27"/>
  <c r="AO173" i="27"/>
  <c r="CO173" i="27"/>
  <c r="BV173" i="27"/>
  <c r="L174" i="27"/>
  <c r="E175" i="27" l="1"/>
  <c r="AM175" i="27" s="1"/>
  <c r="BY175" i="27"/>
  <c r="AK175" i="27"/>
  <c r="BB174" i="27"/>
  <c r="AN174" i="27"/>
  <c r="CA175" i="27"/>
  <c r="CL175" i="27"/>
  <c r="AL175" i="27"/>
  <c r="L175" i="27"/>
  <c r="BI175" i="27"/>
  <c r="BJ175" i="27"/>
  <c r="CH175" i="27"/>
  <c r="A175" i="27"/>
  <c r="CR175" i="27"/>
  <c r="CM175" i="27"/>
  <c r="BL175" i="27"/>
  <c r="BM175" i="27" s="1"/>
  <c r="CT175" i="27"/>
  <c r="CS175" i="27"/>
  <c r="CQ175" i="27"/>
  <c r="CP175" i="27"/>
  <c r="D177" i="27"/>
  <c r="AP176" i="27"/>
  <c r="BD176" i="27"/>
  <c r="BZ176" i="27"/>
  <c r="CE176" i="27"/>
  <c r="BK176" i="27"/>
  <c r="C176" i="27"/>
  <c r="J176" i="27" s="1"/>
  <c r="BQ176" i="27"/>
  <c r="H176" i="27"/>
  <c r="BA176" i="27"/>
  <c r="CG176" i="27"/>
  <c r="CJ176" i="27"/>
  <c r="BN176" i="27"/>
  <c r="I176" i="27"/>
  <c r="K176" i="27" s="1"/>
  <c r="CB176" i="27"/>
  <c r="G176" i="27"/>
  <c r="CI176" i="27"/>
  <c r="B176" i="27"/>
  <c r="AL176" i="27"/>
  <c r="BC176" i="27"/>
  <c r="BH176" i="27" s="1"/>
  <c r="CN176" i="27"/>
  <c r="CD176" i="27"/>
  <c r="CK176" i="27"/>
  <c r="CF176" i="27"/>
  <c r="CC176" i="27"/>
  <c r="AU175" i="27"/>
  <c r="AS175" i="27"/>
  <c r="AZ175" i="27"/>
  <c r="AY175" i="27"/>
  <c r="AR175" i="27"/>
  <c r="AQ175" i="27"/>
  <c r="AT175" i="27"/>
  <c r="AX175" i="27"/>
  <c r="AW175" i="27"/>
  <c r="AV175" i="27"/>
  <c r="CO174" i="27"/>
  <c r="BV174" i="27"/>
  <c r="AO174" i="27"/>
  <c r="CA176" i="27" l="1"/>
  <c r="BE176" i="27"/>
  <c r="AK176" i="27"/>
  <c r="E176" i="27"/>
  <c r="AM176" i="27" s="1"/>
  <c r="CL176" i="27"/>
  <c r="BY176" i="27"/>
  <c r="BB175" i="27"/>
  <c r="AN175" i="27"/>
  <c r="L176" i="27"/>
  <c r="AW176" i="27"/>
  <c r="AV176" i="27"/>
  <c r="AT176" i="27"/>
  <c r="AZ176" i="27"/>
  <c r="AS176" i="27"/>
  <c r="AR176" i="27"/>
  <c r="AU176" i="27"/>
  <c r="AQ176" i="27"/>
  <c r="AX176" i="27"/>
  <c r="AY176" i="27"/>
  <c r="CI177" i="27"/>
  <c r="BQ177" i="27"/>
  <c r="I177" i="27"/>
  <c r="K177" i="27" s="1"/>
  <c r="CK177" i="27"/>
  <c r="G177" i="27"/>
  <c r="BK177" i="27"/>
  <c r="CC177" i="27"/>
  <c r="C177" i="27"/>
  <c r="J177" i="27" s="1"/>
  <c r="D178" i="27"/>
  <c r="BC177" i="27"/>
  <c r="BH177" i="27" s="1"/>
  <c r="CF177" i="27"/>
  <c r="AP177" i="27"/>
  <c r="BZ177" i="27"/>
  <c r="CJ177" i="27"/>
  <c r="BA177" i="27"/>
  <c r="CN177" i="27"/>
  <c r="BN177" i="27"/>
  <c r="CE177" i="27"/>
  <c r="BD177" i="27"/>
  <c r="CG177" i="27"/>
  <c r="CB177" i="27"/>
  <c r="B177" i="27"/>
  <c r="H177" i="27"/>
  <c r="CD177" i="27"/>
  <c r="BV175" i="27"/>
  <c r="AO175" i="27"/>
  <c r="CO175" i="27"/>
  <c r="CP176" i="27"/>
  <c r="BL176" i="27"/>
  <c r="BM176" i="27" s="1"/>
  <c r="CH176" i="27"/>
  <c r="CQ176" i="27"/>
  <c r="BJ176" i="27"/>
  <c r="CS176" i="27"/>
  <c r="BI176" i="27"/>
  <c r="CR176" i="27"/>
  <c r="A176" i="27"/>
  <c r="CT176" i="27"/>
  <c r="CM176" i="27"/>
  <c r="CA177" i="27" l="1"/>
  <c r="BE177" i="27"/>
  <c r="AL177" i="27"/>
  <c r="BY177" i="27"/>
  <c r="CL177" i="27"/>
  <c r="BB176" i="27"/>
  <c r="AN176" i="27"/>
  <c r="E177" i="27"/>
  <c r="AM177" i="27" s="1"/>
  <c r="AK177" i="27"/>
  <c r="CJ178" i="27"/>
  <c r="AP178" i="27"/>
  <c r="CC178" i="27"/>
  <c r="CB178" i="27"/>
  <c r="D179" i="27"/>
  <c r="BC178" i="27"/>
  <c r="BH178" i="27" s="1"/>
  <c r="BK178" i="27"/>
  <c r="CN178" i="27"/>
  <c r="H178" i="27"/>
  <c r="B178" i="27"/>
  <c r="BE178" i="27" s="1"/>
  <c r="BZ178" i="27"/>
  <c r="CD178" i="27"/>
  <c r="G178" i="27"/>
  <c r="BA178" i="27"/>
  <c r="CK178" i="27"/>
  <c r="I178" i="27"/>
  <c r="K178" i="27" s="1"/>
  <c r="C178" i="27"/>
  <c r="J178" i="27" s="1"/>
  <c r="BN178" i="27"/>
  <c r="CE178" i="27"/>
  <c r="CI178" i="27"/>
  <c r="CG178" i="27"/>
  <c r="BD178" i="27"/>
  <c r="BQ178" i="27"/>
  <c r="CF178" i="27"/>
  <c r="AX177" i="27"/>
  <c r="AW177" i="27"/>
  <c r="AR177" i="27"/>
  <c r="AU177" i="27"/>
  <c r="AZ177" i="27"/>
  <c r="AT177" i="27"/>
  <c r="AQ177" i="27"/>
  <c r="AY177" i="27"/>
  <c r="AV177" i="27"/>
  <c r="AS177" i="27"/>
  <c r="L177" i="27"/>
  <c r="BV176" i="27"/>
  <c r="AO176" i="27"/>
  <c r="CO176" i="27"/>
  <c r="CQ177" i="27"/>
  <c r="BL177" i="27"/>
  <c r="BM177" i="27" s="1"/>
  <c r="CP177" i="27"/>
  <c r="A177" i="27"/>
  <c r="CS177" i="27"/>
  <c r="CH177" i="27"/>
  <c r="CT177" i="27"/>
  <c r="CR177" i="27"/>
  <c r="BJ177" i="27"/>
  <c r="BI177" i="27"/>
  <c r="CM177" i="27"/>
  <c r="CL178" i="27" l="1"/>
  <c r="CA178" i="27"/>
  <c r="E178" i="27"/>
  <c r="AM178" i="27" s="1"/>
  <c r="AK178" i="27"/>
  <c r="BB177" i="27"/>
  <c r="AN177" i="27"/>
  <c r="AL178" i="27"/>
  <c r="BY178" i="27"/>
  <c r="L178" i="27"/>
  <c r="G179" i="27"/>
  <c r="BA179" i="27"/>
  <c r="CE179" i="27"/>
  <c r="CJ179" i="27"/>
  <c r="BQ179" i="27"/>
  <c r="H179" i="27"/>
  <c r="BC179" i="27"/>
  <c r="BH179" i="27" s="1"/>
  <c r="BK179" i="27"/>
  <c r="B179" i="27"/>
  <c r="BD179" i="27"/>
  <c r="CB179" i="27"/>
  <c r="D180" i="27"/>
  <c r="CF179" i="27"/>
  <c r="AL179" i="27"/>
  <c r="BZ179" i="27"/>
  <c r="I179" i="27"/>
  <c r="K179" i="27" s="1"/>
  <c r="AP179" i="27"/>
  <c r="C179" i="27"/>
  <c r="J179" i="27" s="1"/>
  <c r="CN179" i="27"/>
  <c r="CK179" i="27"/>
  <c r="CI179" i="27"/>
  <c r="CG179" i="27"/>
  <c r="CD179" i="27"/>
  <c r="CC179" i="27"/>
  <c r="BN179" i="27"/>
  <c r="CR178" i="27"/>
  <c r="CT178" i="27"/>
  <c r="BL178" i="27"/>
  <c r="BM178" i="27" s="1"/>
  <c r="CS178" i="27"/>
  <c r="A178" i="27"/>
  <c r="CQ178" i="27"/>
  <c r="CM178" i="27"/>
  <c r="CP178" i="27"/>
  <c r="CH178" i="27"/>
  <c r="BJ178" i="27"/>
  <c r="BI178" i="27"/>
  <c r="AO177" i="27"/>
  <c r="CO177" i="27"/>
  <c r="BV177" i="27"/>
  <c r="AQ178" i="27"/>
  <c r="AX178" i="27"/>
  <c r="AV178" i="27"/>
  <c r="AT178" i="27"/>
  <c r="AU178" i="27"/>
  <c r="AS178" i="27"/>
  <c r="AW178" i="27"/>
  <c r="AY178" i="27"/>
  <c r="AZ178" i="27"/>
  <c r="AR178" i="27"/>
  <c r="E179" i="27" l="1"/>
  <c r="AM179" i="27" s="1"/>
  <c r="BE179" i="27"/>
  <c r="BB178" i="27"/>
  <c r="AN178" i="27"/>
  <c r="BY179" i="27"/>
  <c r="CL179" i="27"/>
  <c r="AK179" i="27"/>
  <c r="CA179" i="27"/>
  <c r="L179" i="27"/>
  <c r="CD180" i="27"/>
  <c r="G180" i="27"/>
  <c r="BA180" i="27"/>
  <c r="CE180" i="27"/>
  <c r="CC180" i="27"/>
  <c r="BN180" i="27"/>
  <c r="CJ180" i="27"/>
  <c r="BQ180" i="27"/>
  <c r="CF180" i="27"/>
  <c r="BD180" i="27"/>
  <c r="CB180" i="27"/>
  <c r="D181" i="27"/>
  <c r="BZ180" i="27"/>
  <c r="I180" i="27"/>
  <c r="K180" i="27" s="1"/>
  <c r="BK180" i="27"/>
  <c r="H180" i="27"/>
  <c r="C180" i="27"/>
  <c r="J180" i="27" s="1"/>
  <c r="CG180" i="27"/>
  <c r="B180" i="27"/>
  <c r="BC180" i="27"/>
  <c r="BH180" i="27" s="1"/>
  <c r="AP180" i="27"/>
  <c r="CK180" i="27"/>
  <c r="CI180" i="27"/>
  <c r="CN180" i="27"/>
  <c r="CO178" i="27"/>
  <c r="BV178" i="27"/>
  <c r="AO178" i="27"/>
  <c r="CS179" i="27"/>
  <c r="CM179" i="27"/>
  <c r="CR179" i="27"/>
  <c r="CT179" i="27"/>
  <c r="BL179" i="27"/>
  <c r="BM179" i="27" s="1"/>
  <c r="A179" i="27"/>
  <c r="BI179" i="27"/>
  <c r="CQ179" i="27"/>
  <c r="CP179" i="27"/>
  <c r="BJ179" i="27"/>
  <c r="CH179" i="27"/>
  <c r="AT179" i="27"/>
  <c r="AX179" i="27"/>
  <c r="AW179" i="27"/>
  <c r="AU179" i="27"/>
  <c r="AS179" i="27"/>
  <c r="AZ179" i="27"/>
  <c r="AR179" i="27"/>
  <c r="AY179" i="27"/>
  <c r="AV179" i="27"/>
  <c r="AQ179" i="27"/>
  <c r="CA180" i="27" l="1"/>
  <c r="BE180" i="27"/>
  <c r="AK180" i="27"/>
  <c r="AL180" i="27"/>
  <c r="BY180" i="27"/>
  <c r="BB179" i="27"/>
  <c r="AN179" i="27"/>
  <c r="E180" i="27"/>
  <c r="AM180" i="27" s="1"/>
  <c r="CL180" i="27"/>
  <c r="BD181" i="27"/>
  <c r="CB181" i="27"/>
  <c r="CG181" i="27"/>
  <c r="C181" i="27"/>
  <c r="J181" i="27" s="1"/>
  <c r="CE181" i="27"/>
  <c r="CJ181" i="27"/>
  <c r="BQ181" i="27"/>
  <c r="H181" i="27"/>
  <c r="B181" i="27"/>
  <c r="CK181" i="27"/>
  <c r="CI181" i="27"/>
  <c r="CN181" i="27"/>
  <c r="BN181" i="27"/>
  <c r="I181" i="27"/>
  <c r="K181" i="27" s="1"/>
  <c r="CC181" i="27"/>
  <c r="CF181" i="27"/>
  <c r="D182" i="27"/>
  <c r="BC181" i="27"/>
  <c r="BH181" i="27" s="1"/>
  <c r="BK181" i="27"/>
  <c r="AP181" i="27"/>
  <c r="CD181" i="27"/>
  <c r="G181" i="27"/>
  <c r="BA181" i="27"/>
  <c r="BZ181" i="27"/>
  <c r="L180" i="27"/>
  <c r="AU180" i="27"/>
  <c r="AQ180" i="27"/>
  <c r="AT180" i="27"/>
  <c r="AV180" i="27"/>
  <c r="AS180" i="27"/>
  <c r="AZ180" i="27"/>
  <c r="AY180" i="27"/>
  <c r="AR180" i="27"/>
  <c r="AX180" i="27"/>
  <c r="AW180" i="27"/>
  <c r="CQ180" i="27"/>
  <c r="CP180" i="27"/>
  <c r="BL180" i="27"/>
  <c r="BM180" i="27" s="1"/>
  <c r="CH180" i="27"/>
  <c r="BJ180" i="27"/>
  <c r="CT180" i="27"/>
  <c r="A180" i="27"/>
  <c r="CS180" i="27"/>
  <c r="CM180" i="27"/>
  <c r="CR180" i="27"/>
  <c r="BI180" i="27"/>
  <c r="CO179" i="27"/>
  <c r="AO179" i="27"/>
  <c r="BV179" i="27"/>
  <c r="CA181" i="27" l="1"/>
  <c r="BE181" i="27"/>
  <c r="AK181" i="27"/>
  <c r="CL181" i="27"/>
  <c r="BY181" i="27"/>
  <c r="E181" i="27"/>
  <c r="AM181" i="27" s="1"/>
  <c r="BB180" i="27"/>
  <c r="AN180" i="27"/>
  <c r="AL181" i="27"/>
  <c r="L181" i="27"/>
  <c r="I182" i="27"/>
  <c r="K182" i="27" s="1"/>
  <c r="CC182" i="27"/>
  <c r="BZ182" i="27"/>
  <c r="BA182" i="27"/>
  <c r="BC182" i="27"/>
  <c r="BH182" i="27" s="1"/>
  <c r="C182" i="27"/>
  <c r="J182" i="27" s="1"/>
  <c r="BQ182" i="27"/>
  <c r="H182" i="27"/>
  <c r="CN182" i="27"/>
  <c r="CD182" i="27"/>
  <c r="G182" i="27"/>
  <c r="CG182" i="27"/>
  <c r="CK182" i="27"/>
  <c r="BK182" i="27"/>
  <c r="CF182" i="27"/>
  <c r="BN182" i="27"/>
  <c r="CJ182" i="27"/>
  <c r="AP182" i="27"/>
  <c r="BD182" i="27"/>
  <c r="CB182" i="27"/>
  <c r="B182" i="27"/>
  <c r="CE182" i="27"/>
  <c r="CI182" i="27"/>
  <c r="D183" i="27"/>
  <c r="AO180" i="27"/>
  <c r="CO180" i="27"/>
  <c r="BV180" i="27"/>
  <c r="AW181" i="27"/>
  <c r="AZ181" i="27"/>
  <c r="AQ181" i="27"/>
  <c r="AV181" i="27"/>
  <c r="AR181" i="27"/>
  <c r="AU181" i="27"/>
  <c r="AX181" i="27"/>
  <c r="AT181" i="27"/>
  <c r="AS181" i="27"/>
  <c r="AY181" i="27"/>
  <c r="BI181" i="27"/>
  <c r="A181" i="27"/>
  <c r="BL181" i="27"/>
  <c r="BM181" i="27" s="1"/>
  <c r="CM181" i="27"/>
  <c r="CH181" i="27"/>
  <c r="CQ181" i="27"/>
  <c r="CT181" i="27"/>
  <c r="BJ181" i="27"/>
  <c r="CS181" i="27"/>
  <c r="CP181" i="27"/>
  <c r="CR181" i="27"/>
  <c r="CA182" i="27" l="1"/>
  <c r="BE182" i="27"/>
  <c r="BY182" i="27"/>
  <c r="BB181" i="27"/>
  <c r="AN181" i="27"/>
  <c r="AL182" i="27"/>
  <c r="CL182" i="27"/>
  <c r="E182" i="27"/>
  <c r="AM182" i="27" s="1"/>
  <c r="AK182" i="27"/>
  <c r="AP183" i="27"/>
  <c r="BD183" i="27"/>
  <c r="CB183" i="27"/>
  <c r="G183" i="27"/>
  <c r="CE183" i="27"/>
  <c r="BK183" i="27"/>
  <c r="CD183" i="27"/>
  <c r="C183" i="27"/>
  <c r="J183" i="27" s="1"/>
  <c r="CF183" i="27"/>
  <c r="CI183" i="27"/>
  <c r="BQ183" i="27"/>
  <c r="H183" i="27"/>
  <c r="BA183" i="27"/>
  <c r="BN183" i="27"/>
  <c r="CG183" i="27"/>
  <c r="CK183" i="27"/>
  <c r="CN183" i="27"/>
  <c r="I183" i="27"/>
  <c r="K183" i="27" s="1"/>
  <c r="CC183" i="27"/>
  <c r="D184" i="27"/>
  <c r="CJ183" i="27"/>
  <c r="B183" i="27"/>
  <c r="BC183" i="27"/>
  <c r="BH183" i="27" s="1"/>
  <c r="BZ183" i="27"/>
  <c r="AV182" i="27"/>
  <c r="AU182" i="27"/>
  <c r="AQ182" i="27"/>
  <c r="AT182" i="27"/>
  <c r="AW182" i="27"/>
  <c r="AZ182" i="27"/>
  <c r="AX182" i="27"/>
  <c r="AR182" i="27"/>
  <c r="AS182" i="27"/>
  <c r="AY182" i="27"/>
  <c r="A182" i="27"/>
  <c r="BJ182" i="27"/>
  <c r="CM182" i="27"/>
  <c r="BI182" i="27"/>
  <c r="CT182" i="27"/>
  <c r="CQ182" i="27"/>
  <c r="CP182" i="27"/>
  <c r="CS182" i="27"/>
  <c r="CR182" i="27"/>
  <c r="CH182" i="27"/>
  <c r="BL182" i="27"/>
  <c r="BM182" i="27" s="1"/>
  <c r="AO181" i="27"/>
  <c r="CO181" i="27"/>
  <c r="BV181" i="27"/>
  <c r="L182" i="27"/>
  <c r="CA183" i="27" l="1"/>
  <c r="BE183" i="27"/>
  <c r="AL183" i="27"/>
  <c r="E183" i="27"/>
  <c r="AM183" i="27" s="1"/>
  <c r="BY183" i="27"/>
  <c r="BB182" i="27"/>
  <c r="AN182" i="27"/>
  <c r="CL183" i="27"/>
  <c r="AK183" i="27"/>
  <c r="AY183" i="27"/>
  <c r="AR183" i="27"/>
  <c r="AQ183" i="27"/>
  <c r="AT183" i="27"/>
  <c r="AX183" i="27"/>
  <c r="AZ183" i="27"/>
  <c r="AW183" i="27"/>
  <c r="AV183" i="27"/>
  <c r="AS183" i="27"/>
  <c r="AU183" i="27"/>
  <c r="CP183" i="27"/>
  <c r="CH183" i="27"/>
  <c r="CS183" i="27"/>
  <c r="BI183" i="27"/>
  <c r="BJ183" i="27"/>
  <c r="A183" i="27"/>
  <c r="BL183" i="27"/>
  <c r="BM183" i="27" s="1"/>
  <c r="CM183" i="27"/>
  <c r="CR183" i="27"/>
  <c r="CQ183" i="27"/>
  <c r="CT183" i="27"/>
  <c r="AO182" i="27"/>
  <c r="CO182" i="27"/>
  <c r="BV182" i="27"/>
  <c r="D185" i="27"/>
  <c r="AP184" i="27"/>
  <c r="BD184" i="27"/>
  <c r="BZ184" i="27"/>
  <c r="CE184" i="27"/>
  <c r="BK184" i="27"/>
  <c r="CN184" i="27"/>
  <c r="CD184" i="27"/>
  <c r="G184" i="27"/>
  <c r="C184" i="27"/>
  <c r="J184" i="27" s="1"/>
  <c r="BQ184" i="27"/>
  <c r="H184" i="27"/>
  <c r="BA184" i="27"/>
  <c r="CF184" i="27"/>
  <c r="CI184" i="27"/>
  <c r="CG184" i="27"/>
  <c r="CJ184" i="27"/>
  <c r="BC184" i="27"/>
  <c r="BH184" i="27" s="1"/>
  <c r="I184" i="27"/>
  <c r="K184" i="27" s="1"/>
  <c r="CB184" i="27"/>
  <c r="CK184" i="27"/>
  <c r="BN184" i="27"/>
  <c r="B184" i="27"/>
  <c r="CC184" i="27"/>
  <c r="L183" i="27"/>
  <c r="E184" i="27" l="1"/>
  <c r="AM184" i="27" s="1"/>
  <c r="BE184" i="27"/>
  <c r="BY184" i="27"/>
  <c r="AL184" i="27"/>
  <c r="CL184" i="27"/>
  <c r="AK184" i="27"/>
  <c r="CA184" i="27"/>
  <c r="BB183" i="27"/>
  <c r="AN183" i="27"/>
  <c r="L184" i="27"/>
  <c r="AX184" i="27"/>
  <c r="AW184" i="27"/>
  <c r="AV184" i="27"/>
  <c r="AT184" i="27"/>
  <c r="AY184" i="27"/>
  <c r="AQ184" i="27"/>
  <c r="AZ184" i="27"/>
  <c r="AS184" i="27"/>
  <c r="AR184" i="27"/>
  <c r="AU184" i="27"/>
  <c r="AO183" i="27"/>
  <c r="CO183" i="27"/>
  <c r="BV183" i="27"/>
  <c r="CP184" i="27"/>
  <c r="BL184" i="27"/>
  <c r="BM184" i="27" s="1"/>
  <c r="CH184" i="27"/>
  <c r="CQ184" i="27"/>
  <c r="BJ184" i="27"/>
  <c r="CS184" i="27"/>
  <c r="BI184" i="27"/>
  <c r="CT184" i="27"/>
  <c r="CR184" i="27"/>
  <c r="A184" i="27"/>
  <c r="CM184" i="27"/>
  <c r="C185" i="27"/>
  <c r="J185" i="27" s="1"/>
  <c r="BQ185" i="27"/>
  <c r="CB185" i="27"/>
  <c r="G185" i="27"/>
  <c r="CI185" i="27"/>
  <c r="CG185" i="27"/>
  <c r="AL185" i="27"/>
  <c r="I185" i="27"/>
  <c r="K185" i="27" s="1"/>
  <c r="BK185" i="27"/>
  <c r="B185" i="27"/>
  <c r="CK185" i="27"/>
  <c r="AP185" i="27"/>
  <c r="BD185" i="27"/>
  <c r="BZ185" i="27"/>
  <c r="CE185" i="27"/>
  <c r="CJ185" i="27"/>
  <c r="H185" i="27"/>
  <c r="BA185" i="27"/>
  <c r="CN185" i="27"/>
  <c r="CC185" i="27"/>
  <c r="CD185" i="27"/>
  <c r="AK185" i="27"/>
  <c r="CF185" i="27"/>
  <c r="BC185" i="27"/>
  <c r="BH185" i="27" s="1"/>
  <c r="BN185" i="27"/>
  <c r="D186" i="27"/>
  <c r="BY185" i="27" l="1"/>
  <c r="CL185" i="27"/>
  <c r="BE185" i="27"/>
  <c r="E185" i="27"/>
  <c r="AM185" i="27" s="1"/>
  <c r="BB184" i="27"/>
  <c r="AN184" i="27"/>
  <c r="CA185" i="27"/>
  <c r="CJ186" i="27"/>
  <c r="CF186" i="27"/>
  <c r="CK186" i="27"/>
  <c r="CB186" i="27"/>
  <c r="D187" i="27"/>
  <c r="AP186" i="27"/>
  <c r="CC186" i="27"/>
  <c r="B186" i="27"/>
  <c r="BE186" i="27" s="1"/>
  <c r="BA186" i="27"/>
  <c r="CN186" i="27"/>
  <c r="H186" i="27"/>
  <c r="I186" i="27"/>
  <c r="K186" i="27" s="1"/>
  <c r="BZ186" i="27"/>
  <c r="BC186" i="27"/>
  <c r="BH186" i="27" s="1"/>
  <c r="CG186" i="27"/>
  <c r="BD186" i="27"/>
  <c r="BQ186" i="27"/>
  <c r="C186" i="27"/>
  <c r="J186" i="27" s="1"/>
  <c r="CD186" i="27"/>
  <c r="G186" i="27"/>
  <c r="CI186" i="27"/>
  <c r="BN186" i="27"/>
  <c r="CE186" i="27"/>
  <c r="BK186" i="27"/>
  <c r="AS185" i="27"/>
  <c r="AT185" i="27"/>
  <c r="AZ185" i="27"/>
  <c r="AV185" i="27"/>
  <c r="AW185" i="27"/>
  <c r="AU185" i="27"/>
  <c r="AR185" i="27"/>
  <c r="AX185" i="27"/>
  <c r="AY185" i="27"/>
  <c r="AQ185" i="27"/>
  <c r="BJ185" i="27"/>
  <c r="BI185" i="27"/>
  <c r="CH185" i="27"/>
  <c r="A185" i="27"/>
  <c r="CS185" i="27"/>
  <c r="CR185" i="27"/>
  <c r="CM185" i="27"/>
  <c r="CQ185" i="27"/>
  <c r="CP185" i="27"/>
  <c r="BL185" i="27"/>
  <c r="BM185" i="27" s="1"/>
  <c r="CT185" i="27"/>
  <c r="CO184" i="27"/>
  <c r="AO184" i="27"/>
  <c r="BV184" i="27"/>
  <c r="L185" i="27"/>
  <c r="E186" i="27" l="1"/>
  <c r="AM186" i="27" s="1"/>
  <c r="CL186" i="27"/>
  <c r="AL186" i="27"/>
  <c r="CA186" i="27"/>
  <c r="BB185" i="27"/>
  <c r="AN185" i="27"/>
  <c r="AK186" i="27"/>
  <c r="BY186" i="27"/>
  <c r="C187" i="27"/>
  <c r="J187" i="27" s="1"/>
  <c r="AP187" i="27"/>
  <c r="CK187" i="27"/>
  <c r="CI187" i="27"/>
  <c r="CG187" i="27"/>
  <c r="CD187" i="27"/>
  <c r="CJ187" i="27"/>
  <c r="BQ187" i="27"/>
  <c r="CC187" i="27"/>
  <c r="BN187" i="27"/>
  <c r="G187" i="27"/>
  <c r="BA187" i="27"/>
  <c r="CE187" i="27"/>
  <c r="H187" i="27"/>
  <c r="CB187" i="27"/>
  <c r="D188" i="27"/>
  <c r="CN187" i="27"/>
  <c r="BZ187" i="27"/>
  <c r="I187" i="27"/>
  <c r="K187" i="27" s="1"/>
  <c r="CF187" i="27"/>
  <c r="BC187" i="27"/>
  <c r="BH187" i="27" s="1"/>
  <c r="BK187" i="27"/>
  <c r="B187" i="27"/>
  <c r="BD187" i="27"/>
  <c r="CO185" i="27"/>
  <c r="BV185" i="27"/>
  <c r="AO185" i="27"/>
  <c r="L186" i="27"/>
  <c r="AQ186" i="27"/>
  <c r="AW186" i="27"/>
  <c r="AX186" i="27"/>
  <c r="AV186" i="27"/>
  <c r="AS186" i="27"/>
  <c r="AZ186" i="27"/>
  <c r="AR186" i="27"/>
  <c r="AY186" i="27"/>
  <c r="AT186" i="27"/>
  <c r="AU186" i="27"/>
  <c r="CR186" i="27"/>
  <c r="CT186" i="27"/>
  <c r="BL186" i="27"/>
  <c r="BM186" i="27" s="1"/>
  <c r="CS186" i="27"/>
  <c r="BJ186" i="27"/>
  <c r="CQ186" i="27"/>
  <c r="CM186" i="27"/>
  <c r="CH186" i="27"/>
  <c r="BI186" i="27"/>
  <c r="A186" i="27"/>
  <c r="CP186" i="27"/>
  <c r="CA187" i="27" l="1"/>
  <c r="BE187" i="27"/>
  <c r="AK187" i="27"/>
  <c r="AL187" i="27"/>
  <c r="BY187" i="27"/>
  <c r="E187" i="27"/>
  <c r="AM187" i="27" s="1"/>
  <c r="BB186" i="27"/>
  <c r="AN186" i="27"/>
  <c r="CL187" i="27"/>
  <c r="L187" i="27"/>
  <c r="CO186" i="27"/>
  <c r="BV186" i="27"/>
  <c r="AO186" i="27"/>
  <c r="AY187" i="27"/>
  <c r="AR187" i="27"/>
  <c r="AQ187" i="27"/>
  <c r="AW187" i="27"/>
  <c r="AT187" i="27"/>
  <c r="AX187" i="27"/>
  <c r="AS187" i="27"/>
  <c r="AU187" i="27"/>
  <c r="AV187" i="27"/>
  <c r="AZ187" i="27"/>
  <c r="CQ187" i="27"/>
  <c r="CT187" i="27"/>
  <c r="A187" i="27"/>
  <c r="CP187" i="27"/>
  <c r="CR187" i="27"/>
  <c r="CH187" i="27"/>
  <c r="CS187" i="27"/>
  <c r="CM187" i="27"/>
  <c r="BJ187" i="27"/>
  <c r="BI187" i="27"/>
  <c r="BL187" i="27"/>
  <c r="BM187" i="27" s="1"/>
  <c r="H188" i="27"/>
  <c r="C188" i="27"/>
  <c r="J188" i="27" s="1"/>
  <c r="CG188" i="27"/>
  <c r="BD188" i="27"/>
  <c r="D189" i="27"/>
  <c r="BZ188" i="27"/>
  <c r="CK188" i="27"/>
  <c r="CI188" i="27"/>
  <c r="CN188" i="27"/>
  <c r="CB188" i="27"/>
  <c r="CC188" i="27"/>
  <c r="CF188" i="27"/>
  <c r="B188" i="27"/>
  <c r="CD188" i="27"/>
  <c r="BA188" i="27"/>
  <c r="CE188" i="27"/>
  <c r="BN188" i="27"/>
  <c r="CJ188" i="27"/>
  <c r="BQ188" i="27"/>
  <c r="BC188" i="27"/>
  <c r="BH188" i="27" s="1"/>
  <c r="BK188" i="27"/>
  <c r="AP188" i="27"/>
  <c r="G188" i="27"/>
  <c r="I188" i="27"/>
  <c r="K188" i="27" s="1"/>
  <c r="CA188" i="27" l="1"/>
  <c r="BE188" i="27"/>
  <c r="E188" i="27"/>
  <c r="AM188" i="27" s="1"/>
  <c r="CL188" i="27"/>
  <c r="AK188" i="27"/>
  <c r="AL188" i="27"/>
  <c r="BB187" i="27"/>
  <c r="AN187" i="27"/>
  <c r="BY188" i="27"/>
  <c r="L188" i="27"/>
  <c r="CO187" i="27"/>
  <c r="AO187" i="27"/>
  <c r="BV187" i="27"/>
  <c r="CE189" i="27"/>
  <c r="BQ189" i="27"/>
  <c r="H189" i="27"/>
  <c r="B189" i="27"/>
  <c r="BE189" i="27" s="1"/>
  <c r="CK189" i="27"/>
  <c r="CI189" i="27"/>
  <c r="CN189" i="27"/>
  <c r="BD189" i="27"/>
  <c r="CG189" i="27"/>
  <c r="C189" i="27"/>
  <c r="J189" i="27" s="1"/>
  <c r="I189" i="27"/>
  <c r="K189" i="27" s="1"/>
  <c r="CC189" i="27"/>
  <c r="CF189" i="27"/>
  <c r="CD189" i="27"/>
  <c r="BZ189" i="27"/>
  <c r="CJ189" i="27"/>
  <c r="D190" i="27"/>
  <c r="CB189" i="27"/>
  <c r="BC189" i="27"/>
  <c r="BH189" i="27" s="1"/>
  <c r="BK189" i="27"/>
  <c r="AP189" i="27"/>
  <c r="G189" i="27"/>
  <c r="BA189" i="27"/>
  <c r="BN189" i="27"/>
  <c r="AV188" i="27"/>
  <c r="AY188" i="27"/>
  <c r="AU188" i="27"/>
  <c r="AQ188" i="27"/>
  <c r="AT188" i="27"/>
  <c r="AW188" i="27"/>
  <c r="AS188" i="27"/>
  <c r="AZ188" i="27"/>
  <c r="AR188" i="27"/>
  <c r="AX188" i="27"/>
  <c r="BL188" i="27"/>
  <c r="BM188" i="27" s="1"/>
  <c r="CQ188" i="27"/>
  <c r="CP188" i="27"/>
  <c r="BI188" i="27"/>
  <c r="CH188" i="27"/>
  <c r="CT188" i="27"/>
  <c r="CS188" i="27"/>
  <c r="CR188" i="27"/>
  <c r="BJ188" i="27"/>
  <c r="A188" i="27"/>
  <c r="CM188" i="27"/>
  <c r="E189" i="27" l="1"/>
  <c r="AM189" i="27" s="1"/>
  <c r="AK189" i="27"/>
  <c r="BY189" i="27"/>
  <c r="CA189" i="27"/>
  <c r="AL189" i="27"/>
  <c r="CL189" i="27"/>
  <c r="BB188" i="27"/>
  <c r="AN188" i="27"/>
  <c r="L189" i="27"/>
  <c r="CE190" i="27"/>
  <c r="CI190" i="27"/>
  <c r="BQ190" i="27"/>
  <c r="H190" i="27"/>
  <c r="CK190" i="27"/>
  <c r="D191" i="27"/>
  <c r="BK190" i="27"/>
  <c r="G190" i="27"/>
  <c r="BD190" i="27"/>
  <c r="B190" i="27"/>
  <c r="BE190" i="27" s="1"/>
  <c r="I190" i="27"/>
  <c r="K190" i="27" s="1"/>
  <c r="CC190" i="27"/>
  <c r="BZ190" i="27"/>
  <c r="BA190" i="27"/>
  <c r="CN190" i="27"/>
  <c r="CJ190" i="27"/>
  <c r="BC190" i="27"/>
  <c r="BH190" i="27" s="1"/>
  <c r="C190" i="27"/>
  <c r="J190" i="27" s="1"/>
  <c r="CD190" i="27"/>
  <c r="CG190" i="27"/>
  <c r="CF190" i="27"/>
  <c r="BN190" i="27"/>
  <c r="AP190" i="27"/>
  <c r="CB190" i="27"/>
  <c r="BV188" i="27"/>
  <c r="AO188" i="27"/>
  <c r="CO188" i="27"/>
  <c r="CR189" i="27"/>
  <c r="BL189" i="27"/>
  <c r="BM189" i="27" s="1"/>
  <c r="CQ189" i="27"/>
  <c r="BI189" i="27"/>
  <c r="A189" i="27"/>
  <c r="CM189" i="27"/>
  <c r="CP189" i="27"/>
  <c r="CT189" i="27"/>
  <c r="CH189" i="27"/>
  <c r="CS189" i="27"/>
  <c r="BJ189" i="27"/>
  <c r="AY189" i="27"/>
  <c r="AQ189" i="27"/>
  <c r="AX189" i="27"/>
  <c r="AT189" i="27"/>
  <c r="AS189" i="27"/>
  <c r="AW189" i="27"/>
  <c r="AZ189" i="27"/>
  <c r="AV189" i="27"/>
  <c r="AR189" i="27"/>
  <c r="AU189" i="27"/>
  <c r="AK190" i="27" l="1"/>
  <c r="E190" i="27"/>
  <c r="AM190" i="27" s="1"/>
  <c r="BY190" i="27"/>
  <c r="CA190" i="27"/>
  <c r="CL190" i="27"/>
  <c r="BB189" i="27"/>
  <c r="AN189" i="27"/>
  <c r="AL190" i="27"/>
  <c r="A190" i="27"/>
  <c r="BJ190" i="27"/>
  <c r="CP190" i="27"/>
  <c r="CM190" i="27"/>
  <c r="BI190" i="27"/>
  <c r="CT190" i="27"/>
  <c r="CQ190" i="27"/>
  <c r="BL190" i="27"/>
  <c r="BM190" i="27" s="1"/>
  <c r="CS190" i="27"/>
  <c r="CR190" i="27"/>
  <c r="CH190" i="27"/>
  <c r="AO189" i="27"/>
  <c r="CO189" i="27"/>
  <c r="BV189" i="27"/>
  <c r="AZ190" i="27"/>
  <c r="AU190" i="27"/>
  <c r="AR190" i="27"/>
  <c r="AY190" i="27"/>
  <c r="AX190" i="27"/>
  <c r="AQ190" i="27"/>
  <c r="AV190" i="27"/>
  <c r="AW190" i="27"/>
  <c r="AS190" i="27"/>
  <c r="AT190" i="27"/>
  <c r="CN191" i="27"/>
  <c r="CD191" i="27"/>
  <c r="G191" i="27"/>
  <c r="C191" i="27"/>
  <c r="J191" i="27" s="1"/>
  <c r="I191" i="27"/>
  <c r="K191" i="27" s="1"/>
  <c r="CC191" i="27"/>
  <c r="D192" i="27"/>
  <c r="BZ191" i="27"/>
  <c r="CF191" i="27"/>
  <c r="BN191" i="27"/>
  <c r="CI191" i="27"/>
  <c r="CJ191" i="27"/>
  <c r="B191" i="27"/>
  <c r="AP191" i="27"/>
  <c r="BD191" i="27"/>
  <c r="CB191" i="27"/>
  <c r="CE191" i="27"/>
  <c r="BK191" i="27"/>
  <c r="AL191" i="27"/>
  <c r="CG191" i="27"/>
  <c r="CK191" i="27"/>
  <c r="BQ191" i="27"/>
  <c r="H191" i="27"/>
  <c r="BA191" i="27"/>
  <c r="BC191" i="27"/>
  <c r="BH191" i="27" s="1"/>
  <c r="L190" i="27"/>
  <c r="CL191" i="27" l="1"/>
  <c r="BE191" i="27"/>
  <c r="BY191" i="27"/>
  <c r="AK191" i="27"/>
  <c r="CA191" i="27"/>
  <c r="E191" i="27"/>
  <c r="AM191" i="27" s="1"/>
  <c r="BB190" i="27"/>
  <c r="AN190" i="27"/>
  <c r="BI191" i="27"/>
  <c r="BJ191" i="27"/>
  <c r="A191" i="27"/>
  <c r="CR191" i="27"/>
  <c r="CM191" i="27"/>
  <c r="BL191" i="27"/>
  <c r="BM191" i="27" s="1"/>
  <c r="CT191" i="27"/>
  <c r="CQ191" i="27"/>
  <c r="CP191" i="27"/>
  <c r="CH191" i="27"/>
  <c r="CS191" i="27"/>
  <c r="L191" i="27"/>
  <c r="AV191" i="27"/>
  <c r="AW191" i="27"/>
  <c r="AU191" i="27"/>
  <c r="AS191" i="27"/>
  <c r="AQ191" i="27"/>
  <c r="AX191" i="27"/>
  <c r="AZ191" i="27"/>
  <c r="AT191" i="27"/>
  <c r="AY191" i="27"/>
  <c r="AR191" i="27"/>
  <c r="B192" i="27"/>
  <c r="CC192" i="27"/>
  <c r="BQ192" i="27"/>
  <c r="BA192" i="27"/>
  <c r="CN192" i="27"/>
  <c r="CD192" i="27"/>
  <c r="BC192" i="27"/>
  <c r="BH192" i="27" s="1"/>
  <c r="C192" i="27"/>
  <c r="J192" i="27" s="1"/>
  <c r="H192" i="27"/>
  <c r="CF192" i="27"/>
  <c r="BN192" i="27"/>
  <c r="CI192" i="27"/>
  <c r="G192" i="27"/>
  <c r="CG192" i="27"/>
  <c r="CJ192" i="27"/>
  <c r="D193" i="27"/>
  <c r="AP192" i="27"/>
  <c r="BD192" i="27"/>
  <c r="I192" i="27"/>
  <c r="K192" i="27" s="1"/>
  <c r="CB192" i="27"/>
  <c r="CK192" i="27"/>
  <c r="BZ192" i="27"/>
  <c r="CE192" i="27"/>
  <c r="BK192" i="27"/>
  <c r="CO190" i="27"/>
  <c r="BV190" i="27"/>
  <c r="AO190" i="27"/>
  <c r="E192" i="27" l="1"/>
  <c r="AM192" i="27" s="1"/>
  <c r="BE192" i="27"/>
  <c r="BY192" i="27"/>
  <c r="AL192" i="27"/>
  <c r="BB191" i="27"/>
  <c r="AN191" i="27"/>
  <c r="CA192" i="27"/>
  <c r="CL192" i="27"/>
  <c r="AK192" i="27"/>
  <c r="L192" i="27"/>
  <c r="BI192" i="27"/>
  <c r="A192" i="27"/>
  <c r="CQ192" i="27"/>
  <c r="CM192" i="27"/>
  <c r="CP192" i="27"/>
  <c r="BL192" i="27"/>
  <c r="BM192" i="27" s="1"/>
  <c r="CH192" i="27"/>
  <c r="BJ192" i="27"/>
  <c r="CS192" i="27"/>
  <c r="CT192" i="27"/>
  <c r="CR192" i="27"/>
  <c r="AZ192" i="27"/>
  <c r="AS192" i="27"/>
  <c r="AR192" i="27"/>
  <c r="AU192" i="27"/>
  <c r="AV192" i="27"/>
  <c r="AY192" i="27"/>
  <c r="AW192" i="27"/>
  <c r="AT192" i="27"/>
  <c r="AQ192" i="27"/>
  <c r="AX192" i="27"/>
  <c r="CO191" i="27"/>
  <c r="BV191" i="27"/>
  <c r="AO191" i="27"/>
  <c r="BQ193" i="27"/>
  <c r="BK193" i="27"/>
  <c r="I193" i="27"/>
  <c r="K193" i="27" s="1"/>
  <c r="BA193" i="27"/>
  <c r="CB193" i="27"/>
  <c r="H193" i="27"/>
  <c r="CG193" i="27"/>
  <c r="G193" i="27"/>
  <c r="CF193" i="27"/>
  <c r="BD193" i="27"/>
  <c r="B193" i="27"/>
  <c r="CI193" i="27"/>
  <c r="CE193" i="27"/>
  <c r="BC193" i="27"/>
  <c r="BH193" i="27" s="1"/>
  <c r="CD193" i="27"/>
  <c r="C193" i="27"/>
  <c r="J193" i="27" s="1"/>
  <c r="D194" i="27"/>
  <c r="CJ193" i="27"/>
  <c r="CC193" i="27"/>
  <c r="CN193" i="27"/>
  <c r="BN193" i="27"/>
  <c r="CK193" i="27"/>
  <c r="BZ193" i="27"/>
  <c r="AP193" i="27"/>
  <c r="CL193" i="27" l="1"/>
  <c r="BE193" i="27"/>
  <c r="E193" i="27"/>
  <c r="AM193" i="27" s="1"/>
  <c r="AL193" i="27"/>
  <c r="BY193" i="27"/>
  <c r="BB192" i="27"/>
  <c r="AN192" i="27"/>
  <c r="CA193" i="27"/>
  <c r="AK193" i="27"/>
  <c r="B194" i="27"/>
  <c r="BK194" i="27"/>
  <c r="CN194" i="27"/>
  <c r="CD194" i="27"/>
  <c r="CF194" i="27"/>
  <c r="BN194" i="27"/>
  <c r="BC194" i="27"/>
  <c r="BH194" i="27" s="1"/>
  <c r="CB194" i="27"/>
  <c r="G194" i="27"/>
  <c r="D195" i="27"/>
  <c r="AP194" i="27"/>
  <c r="BD194" i="27"/>
  <c r="BA194" i="27"/>
  <c r="BZ194" i="27"/>
  <c r="CE194" i="27"/>
  <c r="CK194" i="27"/>
  <c r="C194" i="27"/>
  <c r="J194" i="27" s="1"/>
  <c r="BQ194" i="27"/>
  <c r="H194" i="27"/>
  <c r="CI194" i="27"/>
  <c r="CG194" i="27"/>
  <c r="CJ194" i="27"/>
  <c r="CC194" i="27"/>
  <c r="I194" i="27"/>
  <c r="K194" i="27" s="1"/>
  <c r="CM193" i="27"/>
  <c r="BI193" i="27"/>
  <c r="CT193" i="27"/>
  <c r="A193" i="27"/>
  <c r="CS193" i="27"/>
  <c r="CH193" i="27"/>
  <c r="CQ193" i="27"/>
  <c r="CR193" i="27"/>
  <c r="CP193" i="27"/>
  <c r="BL193" i="27"/>
  <c r="BM193" i="27" s="1"/>
  <c r="BJ193" i="27"/>
  <c r="L193" i="27"/>
  <c r="BV192" i="27"/>
  <c r="AO192" i="27"/>
  <c r="CO192" i="27"/>
  <c r="AT193" i="27"/>
  <c r="AR193" i="27"/>
  <c r="AQ193" i="27"/>
  <c r="AX193" i="27"/>
  <c r="AZ193" i="27"/>
  <c r="AW193" i="27"/>
  <c r="AY193" i="27"/>
  <c r="AV193" i="27"/>
  <c r="AS193" i="27"/>
  <c r="AU193" i="27"/>
  <c r="CL194" i="27" l="1"/>
  <c r="BE194" i="27"/>
  <c r="BB193" i="27"/>
  <c r="AN193" i="27"/>
  <c r="CA194" i="27"/>
  <c r="E194" i="27"/>
  <c r="AM194" i="27" s="1"/>
  <c r="BY194" i="27"/>
  <c r="AK194" i="27"/>
  <c r="AL194" i="27"/>
  <c r="L194" i="27"/>
  <c r="BZ195" i="27"/>
  <c r="CE195" i="27"/>
  <c r="BD195" i="27"/>
  <c r="CB195" i="27"/>
  <c r="C195" i="27"/>
  <c r="J195" i="27" s="1"/>
  <c r="BQ195" i="27"/>
  <c r="CF195" i="27"/>
  <c r="G195" i="27"/>
  <c r="CI195" i="27"/>
  <c r="CG195" i="27"/>
  <c r="CJ195" i="27"/>
  <c r="H195" i="27"/>
  <c r="I195" i="27"/>
  <c r="K195" i="27" s="1"/>
  <c r="CD195" i="27"/>
  <c r="BC195" i="27"/>
  <c r="BH195" i="27" s="1"/>
  <c r="AP195" i="27"/>
  <c r="BK195" i="27"/>
  <c r="B195" i="27"/>
  <c r="CK195" i="27"/>
  <c r="D196" i="27"/>
  <c r="BA195" i="27"/>
  <c r="CN195" i="27"/>
  <c r="CC195" i="27"/>
  <c r="BN195" i="27"/>
  <c r="CO193" i="27"/>
  <c r="BV193" i="27"/>
  <c r="AO193" i="27"/>
  <c r="AZ194" i="27"/>
  <c r="AU194" i="27"/>
  <c r="AR194" i="27"/>
  <c r="AS194" i="27"/>
  <c r="AY194" i="27"/>
  <c r="AT194" i="27"/>
  <c r="AQ194" i="27"/>
  <c r="AX194" i="27"/>
  <c r="AV194" i="27"/>
  <c r="AW194" i="27"/>
  <c r="BI194" i="27"/>
  <c r="A194" i="27"/>
  <c r="CQ194" i="27"/>
  <c r="CM194" i="27"/>
  <c r="CT194" i="27"/>
  <c r="CR194" i="27"/>
  <c r="CS194" i="27"/>
  <c r="CP194" i="27"/>
  <c r="BL194" i="27"/>
  <c r="BM194" i="27" s="1"/>
  <c r="CH194" i="27"/>
  <c r="BJ194" i="27"/>
  <c r="CA195" i="27" l="1"/>
  <c r="BE195" i="27"/>
  <c r="AK195" i="27"/>
  <c r="AL195" i="27"/>
  <c r="CL195" i="27"/>
  <c r="E195" i="27"/>
  <c r="AM195" i="27" s="1"/>
  <c r="BB194" i="27"/>
  <c r="AN194" i="27"/>
  <c r="BY195" i="27"/>
  <c r="L195" i="27"/>
  <c r="AO194" i="27"/>
  <c r="CO194" i="27"/>
  <c r="BV194" i="27"/>
  <c r="AS195" i="27"/>
  <c r="AV195" i="27"/>
  <c r="AZ195" i="27"/>
  <c r="AT195" i="27"/>
  <c r="AR195" i="27"/>
  <c r="AW195" i="27"/>
  <c r="AY195" i="27"/>
  <c r="AQ195" i="27"/>
  <c r="AU195" i="27"/>
  <c r="AX195" i="27"/>
  <c r="CJ196" i="27"/>
  <c r="CF196" i="27"/>
  <c r="CB196" i="27"/>
  <c r="D197" i="27"/>
  <c r="AP196" i="27"/>
  <c r="BC196" i="27"/>
  <c r="BH196" i="27" s="1"/>
  <c r="BZ196" i="27"/>
  <c r="CK196" i="27"/>
  <c r="CN196" i="27"/>
  <c r="C196" i="27"/>
  <c r="J196" i="27" s="1"/>
  <c r="CD196" i="27"/>
  <c r="CE196" i="27"/>
  <c r="H196" i="27"/>
  <c r="CI196" i="27"/>
  <c r="CG196" i="27"/>
  <c r="BN196" i="27"/>
  <c r="BQ196" i="27"/>
  <c r="BK196" i="27"/>
  <c r="B196" i="27"/>
  <c r="BE196" i="27" s="1"/>
  <c r="G196" i="27"/>
  <c r="BA196" i="27"/>
  <c r="CC196" i="27"/>
  <c r="BD196" i="27"/>
  <c r="I196" i="27"/>
  <c r="K196" i="27" s="1"/>
  <c r="CM195" i="27"/>
  <c r="CS195" i="27"/>
  <c r="CQ195" i="27"/>
  <c r="CT195" i="27"/>
  <c r="CP195" i="27"/>
  <c r="CR195" i="27"/>
  <c r="CH195" i="27"/>
  <c r="BL195" i="27"/>
  <c r="BM195" i="27" s="1"/>
  <c r="BI195" i="27"/>
  <c r="A195" i="27"/>
  <c r="BJ195" i="27"/>
  <c r="BY196" i="27" l="1"/>
  <c r="E196" i="27"/>
  <c r="AM196" i="27" s="1"/>
  <c r="CA196" i="27"/>
  <c r="CL196" i="27"/>
  <c r="AK196" i="27"/>
  <c r="AL196" i="27"/>
  <c r="BB195" i="27"/>
  <c r="AN195" i="27"/>
  <c r="L196" i="27"/>
  <c r="AY196" i="27"/>
  <c r="AQ196" i="27"/>
  <c r="AX196" i="27"/>
  <c r="AZ196" i="27"/>
  <c r="AR196" i="27"/>
  <c r="AV196" i="27"/>
  <c r="AT196" i="27"/>
  <c r="AW196" i="27"/>
  <c r="AS196" i="27"/>
  <c r="AU196" i="27"/>
  <c r="CQ196" i="27"/>
  <c r="CM196" i="27"/>
  <c r="CP196" i="27"/>
  <c r="CR196" i="27"/>
  <c r="CH196" i="27"/>
  <c r="CS196" i="27"/>
  <c r="BJ196" i="27"/>
  <c r="BI196" i="27"/>
  <c r="A196" i="27"/>
  <c r="CT196" i="27"/>
  <c r="BL196" i="27"/>
  <c r="BM196" i="27" s="1"/>
  <c r="C197" i="27"/>
  <c r="J197" i="27" s="1"/>
  <c r="BD197" i="27"/>
  <c r="CB197" i="27"/>
  <c r="D198" i="27"/>
  <c r="CK197" i="27"/>
  <c r="CI197" i="27"/>
  <c r="CG197" i="27"/>
  <c r="CN197" i="27"/>
  <c r="H197" i="27"/>
  <c r="CC197" i="27"/>
  <c r="BZ197" i="27"/>
  <c r="CD197" i="27"/>
  <c r="BC197" i="27"/>
  <c r="BH197" i="27" s="1"/>
  <c r="BK197" i="27"/>
  <c r="B197" i="27"/>
  <c r="CF197" i="27"/>
  <c r="G197" i="27"/>
  <c r="BA197" i="27"/>
  <c r="CE197" i="27"/>
  <c r="AP197" i="27"/>
  <c r="CJ197" i="27"/>
  <c r="BQ197" i="27"/>
  <c r="BN197" i="27"/>
  <c r="I197" i="27"/>
  <c r="K197" i="27" s="1"/>
  <c r="CO195" i="27"/>
  <c r="BV195" i="27"/>
  <c r="AO195" i="27"/>
  <c r="CA197" i="27" l="1"/>
  <c r="BE197" i="27"/>
  <c r="AL197" i="27"/>
  <c r="AK197" i="27"/>
  <c r="CL197" i="27"/>
  <c r="E197" i="27"/>
  <c r="AM197" i="27" s="1"/>
  <c r="BY197" i="27"/>
  <c r="BB196" i="27"/>
  <c r="AN196" i="27"/>
  <c r="L197" i="27"/>
  <c r="AS197" i="27"/>
  <c r="AV197" i="27"/>
  <c r="AZ197" i="27"/>
  <c r="AR197" i="27"/>
  <c r="AX197" i="27"/>
  <c r="AY197" i="27"/>
  <c r="AU197" i="27"/>
  <c r="AQ197" i="27"/>
  <c r="AT197" i="27"/>
  <c r="AW197" i="27"/>
  <c r="BC198" i="27"/>
  <c r="BH198" i="27" s="1"/>
  <c r="BK198" i="27"/>
  <c r="AP198" i="27"/>
  <c r="CC198" i="27"/>
  <c r="CD198" i="27"/>
  <c r="G198" i="27"/>
  <c r="BA198" i="27"/>
  <c r="B198" i="27"/>
  <c r="BE198" i="27" s="1"/>
  <c r="BN198" i="27"/>
  <c r="CJ198" i="27"/>
  <c r="CI198" i="27"/>
  <c r="I198" i="27"/>
  <c r="K198" i="27" s="1"/>
  <c r="BD198" i="27"/>
  <c r="CB198" i="27"/>
  <c r="D199" i="27"/>
  <c r="CG198" i="27"/>
  <c r="CN198" i="27"/>
  <c r="BZ198" i="27"/>
  <c r="CK198" i="27"/>
  <c r="CF198" i="27"/>
  <c r="CE198" i="27"/>
  <c r="H198" i="27"/>
  <c r="C198" i="27"/>
  <c r="J198" i="27" s="1"/>
  <c r="BQ198" i="27"/>
  <c r="CO196" i="27"/>
  <c r="BV196" i="27"/>
  <c r="AO196" i="27"/>
  <c r="CS197" i="27"/>
  <c r="CM197" i="27"/>
  <c r="BI197" i="27"/>
  <c r="CR197" i="27"/>
  <c r="A197" i="27"/>
  <c r="BL197" i="27"/>
  <c r="BM197" i="27" s="1"/>
  <c r="CT197" i="27"/>
  <c r="CQ197" i="27"/>
  <c r="CP197" i="27"/>
  <c r="BJ197" i="27"/>
  <c r="CH197" i="27"/>
  <c r="BY198" i="27" l="1"/>
  <c r="CL198" i="27"/>
  <c r="AL198" i="27"/>
  <c r="BB197" i="27"/>
  <c r="AN197" i="27"/>
  <c r="E198" i="27"/>
  <c r="AM198" i="27" s="1"/>
  <c r="AK198" i="27"/>
  <c r="CA198" i="27"/>
  <c r="CE199" i="27"/>
  <c r="BQ199" i="27"/>
  <c r="H199" i="27"/>
  <c r="B199" i="27"/>
  <c r="CK199" i="27"/>
  <c r="CI199" i="27"/>
  <c r="D200" i="27"/>
  <c r="I199" i="27"/>
  <c r="K199" i="27" s="1"/>
  <c r="CC199" i="27"/>
  <c r="C199" i="27"/>
  <c r="J199" i="27" s="1"/>
  <c r="AP199" i="27"/>
  <c r="BC199" i="27"/>
  <c r="BH199" i="27" s="1"/>
  <c r="BK199" i="27"/>
  <c r="CN199" i="27"/>
  <c r="BD199" i="27"/>
  <c r="CG199" i="27"/>
  <c r="CD199" i="27"/>
  <c r="G199" i="27"/>
  <c r="BA199" i="27"/>
  <c r="BZ199" i="27"/>
  <c r="BN199" i="27"/>
  <c r="CJ199" i="27"/>
  <c r="CF199" i="27"/>
  <c r="CB199" i="27"/>
  <c r="CT198" i="27"/>
  <c r="A198" i="27"/>
  <c r="CS198" i="27"/>
  <c r="BI198" i="27"/>
  <c r="CR198" i="27"/>
  <c r="CM198" i="27"/>
  <c r="BL198" i="27"/>
  <c r="BM198" i="27" s="1"/>
  <c r="CQ198" i="27"/>
  <c r="CP198" i="27"/>
  <c r="CH198" i="27"/>
  <c r="BJ198" i="27"/>
  <c r="CO197" i="27"/>
  <c r="AO197" i="27"/>
  <c r="BV197" i="27"/>
  <c r="AR198" i="27"/>
  <c r="AX198" i="27"/>
  <c r="AY198" i="27"/>
  <c r="AV198" i="27"/>
  <c r="AW198" i="27"/>
  <c r="AU198" i="27"/>
  <c r="AQ198" i="27"/>
  <c r="AT198" i="27"/>
  <c r="AS198" i="27"/>
  <c r="AZ198" i="27"/>
  <c r="L198" i="27"/>
  <c r="E199" i="27" l="1"/>
  <c r="AM199" i="27" s="1"/>
  <c r="BE199" i="27"/>
  <c r="CL199" i="27"/>
  <c r="CA199" i="27"/>
  <c r="AK199" i="27"/>
  <c r="BB198" i="27"/>
  <c r="AN198" i="27"/>
  <c r="BY199" i="27"/>
  <c r="AL199" i="27"/>
  <c r="L199" i="27"/>
  <c r="BI199" i="27"/>
  <c r="BJ199" i="27"/>
  <c r="CM199" i="27"/>
  <c r="A199" i="27"/>
  <c r="CT199" i="27"/>
  <c r="CP199" i="27"/>
  <c r="CS199" i="27"/>
  <c r="CH199" i="27"/>
  <c r="BL199" i="27"/>
  <c r="BM199" i="27" s="1"/>
  <c r="CQ199" i="27"/>
  <c r="CR199" i="27"/>
  <c r="I200" i="27"/>
  <c r="K200" i="27" s="1"/>
  <c r="CC200" i="27"/>
  <c r="BZ200" i="27"/>
  <c r="BC200" i="27"/>
  <c r="BH200" i="27" s="1"/>
  <c r="C200" i="27"/>
  <c r="J200" i="27" s="1"/>
  <c r="CG200" i="27"/>
  <c r="CN200" i="27"/>
  <c r="CD200" i="27"/>
  <c r="G200" i="27"/>
  <c r="BK200" i="27"/>
  <c r="CF200" i="27"/>
  <c r="BN200" i="27"/>
  <c r="CJ200" i="27"/>
  <c r="B200" i="27"/>
  <c r="BQ200" i="27"/>
  <c r="AP200" i="27"/>
  <c r="BD200" i="27"/>
  <c r="CB200" i="27"/>
  <c r="BA200" i="27"/>
  <c r="H200" i="27"/>
  <c r="CK200" i="27"/>
  <c r="D201" i="27"/>
  <c r="CE200" i="27"/>
  <c r="CI200" i="27"/>
  <c r="CO198" i="27"/>
  <c r="AO198" i="27"/>
  <c r="BV198" i="27"/>
  <c r="AW199" i="27"/>
  <c r="AX199" i="27"/>
  <c r="AV199" i="27"/>
  <c r="AR199" i="27"/>
  <c r="AU199" i="27"/>
  <c r="AT199" i="27"/>
  <c r="AS199" i="27"/>
  <c r="AQ199" i="27"/>
  <c r="AZ199" i="27"/>
  <c r="AY199" i="27"/>
  <c r="E200" i="27" l="1"/>
  <c r="AM200" i="27" s="1"/>
  <c r="BE200" i="27"/>
  <c r="AK200" i="27"/>
  <c r="BY200" i="27"/>
  <c r="AL200" i="27"/>
  <c r="BB199" i="27"/>
  <c r="AN199" i="27"/>
  <c r="CA200" i="27"/>
  <c r="CL200" i="27"/>
  <c r="CG201" i="27"/>
  <c r="CK201" i="27"/>
  <c r="BQ201" i="27"/>
  <c r="BZ201" i="27"/>
  <c r="I201" i="27"/>
  <c r="K201" i="27" s="1"/>
  <c r="CC201" i="27"/>
  <c r="BK201" i="27"/>
  <c r="B201" i="27"/>
  <c r="BC201" i="27"/>
  <c r="BH201" i="27" s="1"/>
  <c r="D202" i="27"/>
  <c r="H201" i="27"/>
  <c r="CN201" i="27"/>
  <c r="CD201" i="27"/>
  <c r="G201" i="27"/>
  <c r="C201" i="27"/>
  <c r="J201" i="27" s="1"/>
  <c r="CE201" i="27"/>
  <c r="BA201" i="27"/>
  <c r="CF201" i="27"/>
  <c r="BN201" i="27"/>
  <c r="CI201" i="27"/>
  <c r="CJ201" i="27"/>
  <c r="AP201" i="27"/>
  <c r="BD201" i="27"/>
  <c r="CB201" i="27"/>
  <c r="L200" i="27"/>
  <c r="CO199" i="27"/>
  <c r="BV199" i="27"/>
  <c r="AO199" i="27"/>
  <c r="CP200" i="27"/>
  <c r="BL200" i="27"/>
  <c r="BM200" i="27" s="1"/>
  <c r="CH200" i="27"/>
  <c r="A200" i="27"/>
  <c r="BJ200" i="27"/>
  <c r="CM200" i="27"/>
  <c r="BI200" i="27"/>
  <c r="CT200" i="27"/>
  <c r="CQ200" i="27"/>
  <c r="CR200" i="27"/>
  <c r="CS200" i="27"/>
  <c r="AX200" i="27"/>
  <c r="AS200" i="27"/>
  <c r="AW200" i="27"/>
  <c r="AQ200" i="27"/>
  <c r="AV200" i="27"/>
  <c r="AY200" i="27"/>
  <c r="AU200" i="27"/>
  <c r="AR200" i="27"/>
  <c r="AT200" i="27"/>
  <c r="AZ200" i="27"/>
  <c r="CA201" i="27" l="1"/>
  <c r="BE201" i="27"/>
  <c r="BB200" i="27"/>
  <c r="AN200" i="27"/>
  <c r="AK201" i="27"/>
  <c r="E201" i="27"/>
  <c r="AM201" i="27" s="1"/>
  <c r="CL201" i="27"/>
  <c r="BY201" i="27"/>
  <c r="AL201" i="27"/>
  <c r="BV200" i="27"/>
  <c r="AO200" i="27"/>
  <c r="CO200" i="27"/>
  <c r="L201" i="27"/>
  <c r="AY201" i="27"/>
  <c r="AT201" i="27"/>
  <c r="AQ201" i="27"/>
  <c r="AR201" i="27"/>
  <c r="AX201" i="27"/>
  <c r="AW201" i="27"/>
  <c r="AZ201" i="27"/>
  <c r="AV201" i="27"/>
  <c r="AS201" i="27"/>
  <c r="AU201" i="27"/>
  <c r="CF202" i="27"/>
  <c r="BN202" i="27"/>
  <c r="G202" i="27"/>
  <c r="CI202" i="27"/>
  <c r="D203" i="27"/>
  <c r="AP202" i="27"/>
  <c r="BD202" i="27"/>
  <c r="BK202" i="27"/>
  <c r="BZ202" i="27"/>
  <c r="CE202" i="27"/>
  <c r="BC202" i="27"/>
  <c r="BH202" i="27" s="1"/>
  <c r="C202" i="27"/>
  <c r="J202" i="27" s="1"/>
  <c r="BQ202" i="27"/>
  <c r="H202" i="27"/>
  <c r="BA202" i="27"/>
  <c r="B202" i="27"/>
  <c r="BE202" i="27" s="1"/>
  <c r="CD202" i="27"/>
  <c r="CG202" i="27"/>
  <c r="CJ202" i="27"/>
  <c r="CK202" i="27"/>
  <c r="I202" i="27"/>
  <c r="K202" i="27" s="1"/>
  <c r="CB202" i="27"/>
  <c r="CC202" i="27"/>
  <c r="CN202" i="27"/>
  <c r="CT201" i="27"/>
  <c r="CS201" i="27"/>
  <c r="CQ201" i="27"/>
  <c r="BL201" i="27"/>
  <c r="BM201" i="27" s="1"/>
  <c r="CH201" i="27"/>
  <c r="BJ201" i="27"/>
  <c r="A201" i="27"/>
  <c r="CP201" i="27"/>
  <c r="BI201" i="27"/>
  <c r="CR201" i="27"/>
  <c r="CM201" i="27"/>
  <c r="AK202" i="27" l="1"/>
  <c r="CL202" i="27"/>
  <c r="BY202" i="27"/>
  <c r="AL202" i="27"/>
  <c r="BB201" i="27"/>
  <c r="AN201" i="27"/>
  <c r="CA202" i="27"/>
  <c r="E202" i="27"/>
  <c r="AM202" i="27" s="1"/>
  <c r="CP202" i="27"/>
  <c r="BL202" i="27"/>
  <c r="BM202" i="27" s="1"/>
  <c r="CH202" i="27"/>
  <c r="CS202" i="27"/>
  <c r="BJ202" i="27"/>
  <c r="CQ202" i="27"/>
  <c r="BI202" i="27"/>
  <c r="CR202" i="27"/>
  <c r="A202" i="27"/>
  <c r="CM202" i="27"/>
  <c r="CT202" i="27"/>
  <c r="CO201" i="27"/>
  <c r="BV201" i="27"/>
  <c r="AO201" i="27"/>
  <c r="C203" i="27"/>
  <c r="J203" i="27" s="1"/>
  <c r="BQ203" i="27"/>
  <c r="H203" i="27"/>
  <c r="CJ203" i="27"/>
  <c r="CI203" i="27"/>
  <c r="CG203" i="27"/>
  <c r="CK203" i="27"/>
  <c r="I203" i="27"/>
  <c r="K203" i="27" s="1"/>
  <c r="BD203" i="27"/>
  <c r="BK203" i="27"/>
  <c r="B203" i="27"/>
  <c r="BZ203" i="27"/>
  <c r="CE203" i="27"/>
  <c r="BA203" i="27"/>
  <c r="CN203" i="27"/>
  <c r="CC203" i="27"/>
  <c r="CD203" i="27"/>
  <c r="BN203" i="27"/>
  <c r="AK203" i="27"/>
  <c r="CF203" i="27"/>
  <c r="BC203" i="27"/>
  <c r="BH203" i="27" s="1"/>
  <c r="D204" i="27"/>
  <c r="AP203" i="27"/>
  <c r="G203" i="27"/>
  <c r="CB203" i="27"/>
  <c r="AR202" i="27"/>
  <c r="AS202" i="27"/>
  <c r="AY202" i="27"/>
  <c r="AQ202" i="27"/>
  <c r="AX202" i="27"/>
  <c r="AW202" i="27"/>
  <c r="AZ202" i="27"/>
  <c r="AU202" i="27"/>
  <c r="AV202" i="27"/>
  <c r="AT202" i="27"/>
  <c r="L202" i="27"/>
  <c r="BY203" i="27" l="1"/>
  <c r="E203" i="27"/>
  <c r="AM203" i="27" s="1"/>
  <c r="BE203" i="27"/>
  <c r="BB202" i="27"/>
  <c r="AN202" i="27"/>
  <c r="CA203" i="27"/>
  <c r="AL203" i="27"/>
  <c r="CL203" i="27"/>
  <c r="L203" i="27"/>
  <c r="BJ203" i="27"/>
  <c r="BL203" i="27"/>
  <c r="BM203" i="27" s="1"/>
  <c r="BI203" i="27"/>
  <c r="A203" i="27"/>
  <c r="CR203" i="27"/>
  <c r="CM203" i="27"/>
  <c r="CQ203" i="27"/>
  <c r="CH203" i="27"/>
  <c r="CS203" i="27"/>
  <c r="CP203" i="27"/>
  <c r="CT203" i="27"/>
  <c r="CJ204" i="27"/>
  <c r="CF204" i="27"/>
  <c r="BQ204" i="27"/>
  <c r="CE204" i="27"/>
  <c r="CB204" i="27"/>
  <c r="D205" i="27"/>
  <c r="AP204" i="27"/>
  <c r="I204" i="27"/>
  <c r="K204" i="27" s="1"/>
  <c r="BZ204" i="27"/>
  <c r="G204" i="27"/>
  <c r="C204" i="27"/>
  <c r="J204" i="27" s="1"/>
  <c r="CD204" i="27"/>
  <c r="BD204" i="27"/>
  <c r="CN204" i="27"/>
  <c r="H204" i="27"/>
  <c r="CK204" i="27"/>
  <c r="CI204" i="27"/>
  <c r="CG204" i="27"/>
  <c r="BN204" i="27"/>
  <c r="BC204" i="27"/>
  <c r="BH204" i="27" s="1"/>
  <c r="BK204" i="27"/>
  <c r="B204" i="27"/>
  <c r="CC204" i="27"/>
  <c r="BA204" i="27"/>
  <c r="AS203" i="27"/>
  <c r="AV203" i="27"/>
  <c r="AZ203" i="27"/>
  <c r="AT203" i="27"/>
  <c r="AR203" i="27"/>
  <c r="AY203" i="27"/>
  <c r="AU203" i="27"/>
  <c r="AQ203" i="27"/>
  <c r="AX203" i="27"/>
  <c r="AW203" i="27"/>
  <c r="CO202" i="27"/>
  <c r="BV202" i="27"/>
  <c r="AO202" i="27"/>
  <c r="E204" i="27" l="1"/>
  <c r="AM204" i="27" s="1"/>
  <c r="BE204" i="27"/>
  <c r="BB203" i="27"/>
  <c r="AN203" i="27"/>
  <c r="CL204" i="27"/>
  <c r="CA204" i="27"/>
  <c r="BY204" i="27"/>
  <c r="AL204" i="27"/>
  <c r="AK204" i="27"/>
  <c r="BI204" i="27"/>
  <c r="A204" i="27"/>
  <c r="BJ204" i="27"/>
  <c r="CR204" i="27"/>
  <c r="CT204" i="27"/>
  <c r="BL204" i="27"/>
  <c r="BM204" i="27" s="1"/>
  <c r="CS204" i="27"/>
  <c r="CH204" i="27"/>
  <c r="CQ204" i="27"/>
  <c r="CM204" i="27"/>
  <c r="CP204" i="27"/>
  <c r="L204" i="27"/>
  <c r="BV203" i="27"/>
  <c r="AO203" i="27"/>
  <c r="CO203" i="27"/>
  <c r="CK205" i="27"/>
  <c r="CI205" i="27"/>
  <c r="CG205" i="27"/>
  <c r="I205" i="27"/>
  <c r="K205" i="27" s="1"/>
  <c r="CC205" i="27"/>
  <c r="CD205" i="27"/>
  <c r="BC205" i="27"/>
  <c r="BH205" i="27" s="1"/>
  <c r="BK205" i="27"/>
  <c r="B205" i="27"/>
  <c r="BN205" i="27"/>
  <c r="G205" i="27"/>
  <c r="BA205" i="27"/>
  <c r="CN205" i="27"/>
  <c r="H205" i="27"/>
  <c r="BZ205" i="27"/>
  <c r="BQ205" i="27"/>
  <c r="CJ205" i="27"/>
  <c r="CF205" i="27"/>
  <c r="BD205" i="27"/>
  <c r="C205" i="27"/>
  <c r="J205" i="27" s="1"/>
  <c r="CB205" i="27"/>
  <c r="D206" i="27"/>
  <c r="CE205" i="27"/>
  <c r="AP205" i="27"/>
  <c r="AT204" i="27"/>
  <c r="AW204" i="27"/>
  <c r="AS204" i="27"/>
  <c r="AU204" i="27"/>
  <c r="AZ204" i="27"/>
  <c r="AR204" i="27"/>
  <c r="AX204" i="27"/>
  <c r="AY204" i="27"/>
  <c r="AV204" i="27"/>
  <c r="AQ204" i="27"/>
  <c r="CA205" i="27" l="1"/>
  <c r="BE205" i="27"/>
  <c r="BY205" i="27"/>
  <c r="AK205" i="27"/>
  <c r="E205" i="27"/>
  <c r="AM205" i="27" s="1"/>
  <c r="BB204" i="27"/>
  <c r="AN204" i="27"/>
  <c r="CL205" i="27"/>
  <c r="AL205" i="27"/>
  <c r="CC206" i="27"/>
  <c r="I206" i="27"/>
  <c r="K206" i="27" s="1"/>
  <c r="BN206" i="27"/>
  <c r="CJ206" i="27"/>
  <c r="CF206" i="27"/>
  <c r="BC206" i="27"/>
  <c r="BH206" i="27" s="1"/>
  <c r="BK206" i="27"/>
  <c r="B206" i="27"/>
  <c r="H206" i="27"/>
  <c r="C206" i="27"/>
  <c r="J206" i="27" s="1"/>
  <c r="BQ206" i="27"/>
  <c r="CI206" i="27"/>
  <c r="CD206" i="27"/>
  <c r="G206" i="27"/>
  <c r="BA206" i="27"/>
  <c r="CN206" i="27"/>
  <c r="BD206" i="27"/>
  <c r="CB206" i="27"/>
  <c r="D207" i="27"/>
  <c r="AP206" i="27"/>
  <c r="BZ206" i="27"/>
  <c r="CE206" i="27"/>
  <c r="CK206" i="27"/>
  <c r="CG206" i="27"/>
  <c r="BI205" i="27"/>
  <c r="BL205" i="27"/>
  <c r="BM205" i="27" s="1"/>
  <c r="CT205" i="27"/>
  <c r="CS205" i="27"/>
  <c r="CM205" i="27"/>
  <c r="CR205" i="27"/>
  <c r="A205" i="27"/>
  <c r="CH205" i="27"/>
  <c r="CQ205" i="27"/>
  <c r="CP205" i="27"/>
  <c r="BJ205" i="27"/>
  <c r="L205" i="27"/>
  <c r="AT205" i="27"/>
  <c r="AV205" i="27"/>
  <c r="AR205" i="27"/>
  <c r="AS205" i="27"/>
  <c r="AW205" i="27"/>
  <c r="AU205" i="27"/>
  <c r="AZ205" i="27"/>
  <c r="AY205" i="27"/>
  <c r="AQ205" i="27"/>
  <c r="AX205" i="27"/>
  <c r="AO204" i="27"/>
  <c r="CO204" i="27"/>
  <c r="BV204" i="27"/>
  <c r="E206" i="27" l="1"/>
  <c r="AM206" i="27" s="1"/>
  <c r="BE206" i="27"/>
  <c r="BY206" i="27"/>
  <c r="AL206" i="27"/>
  <c r="CA206" i="27"/>
  <c r="BB205" i="27"/>
  <c r="AN205" i="27"/>
  <c r="CL206" i="27"/>
  <c r="AK206" i="27"/>
  <c r="BV205" i="27"/>
  <c r="CO205" i="27"/>
  <c r="AO205" i="27"/>
  <c r="AV206" i="27"/>
  <c r="AX206" i="27"/>
  <c r="AU206" i="27"/>
  <c r="AW206" i="27"/>
  <c r="AT206" i="27"/>
  <c r="AS206" i="27"/>
  <c r="AY206" i="27"/>
  <c r="AQ206" i="27"/>
  <c r="AZ206" i="27"/>
  <c r="AR206" i="27"/>
  <c r="BL206" i="27"/>
  <c r="BM206" i="27" s="1"/>
  <c r="CS206" i="27"/>
  <c r="CQ206" i="27"/>
  <c r="CP206" i="27"/>
  <c r="CH206" i="27"/>
  <c r="A206" i="27"/>
  <c r="CR206" i="27"/>
  <c r="CM206" i="27"/>
  <c r="BJ206" i="27"/>
  <c r="CT206" i="27"/>
  <c r="BI206" i="27"/>
  <c r="L206" i="27"/>
  <c r="BN207" i="27"/>
  <c r="CJ207" i="27"/>
  <c r="AP207" i="27"/>
  <c r="BQ207" i="27"/>
  <c r="BC207" i="27"/>
  <c r="BH207" i="27" s="1"/>
  <c r="BD207" i="27"/>
  <c r="CB207" i="27"/>
  <c r="D208" i="27"/>
  <c r="CN207" i="27"/>
  <c r="CD207" i="27"/>
  <c r="CE207" i="27"/>
  <c r="BZ207" i="27"/>
  <c r="H207" i="27"/>
  <c r="C207" i="27"/>
  <c r="J207" i="27" s="1"/>
  <c r="BK207" i="27"/>
  <c r="B207" i="27"/>
  <c r="G207" i="27"/>
  <c r="BA207" i="27"/>
  <c r="CF207" i="27"/>
  <c r="CK207" i="27"/>
  <c r="CI207" i="27"/>
  <c r="CG207" i="27"/>
  <c r="I207" i="27"/>
  <c r="K207" i="27" s="1"/>
  <c r="CC207" i="27"/>
  <c r="CL207" i="27" l="1"/>
  <c r="BE207" i="27"/>
  <c r="BB206" i="27"/>
  <c r="AN206" i="27"/>
  <c r="BY207" i="27"/>
  <c r="CA207" i="27"/>
  <c r="AL207" i="27"/>
  <c r="E207" i="27"/>
  <c r="AM207" i="27" s="1"/>
  <c r="AK207" i="27"/>
  <c r="L207" i="27"/>
  <c r="AS207" i="27"/>
  <c r="AU207" i="27"/>
  <c r="AZ207" i="27"/>
  <c r="AR207" i="27"/>
  <c r="AY207" i="27"/>
  <c r="AT207" i="27"/>
  <c r="AW207" i="27"/>
  <c r="AQ207" i="27"/>
  <c r="AV207" i="27"/>
  <c r="AX207" i="27"/>
  <c r="CN208" i="27"/>
  <c r="CD208" i="27"/>
  <c r="G208" i="27"/>
  <c r="BA208" i="27"/>
  <c r="CE208" i="27"/>
  <c r="I208" i="27"/>
  <c r="K208" i="27" s="1"/>
  <c r="CC208" i="27"/>
  <c r="CF208" i="27"/>
  <c r="BN208" i="27"/>
  <c r="CJ208" i="27"/>
  <c r="BK208" i="27"/>
  <c r="AP208" i="27"/>
  <c r="BD208" i="27"/>
  <c r="CB208" i="27"/>
  <c r="D209" i="27"/>
  <c r="BZ208" i="27"/>
  <c r="BC208" i="27"/>
  <c r="BH208" i="27" s="1"/>
  <c r="B208" i="27"/>
  <c r="BQ208" i="27"/>
  <c r="H208" i="27"/>
  <c r="C208" i="27"/>
  <c r="J208" i="27" s="1"/>
  <c r="CK208" i="27"/>
  <c r="CI208" i="27"/>
  <c r="CG208" i="27"/>
  <c r="CO206" i="27"/>
  <c r="BV206" i="27"/>
  <c r="AO206" i="27"/>
  <c r="CS207" i="27"/>
  <c r="A207" i="27"/>
  <c r="CQ207" i="27"/>
  <c r="CM207" i="27"/>
  <c r="BJ207" i="27"/>
  <c r="CR207" i="27"/>
  <c r="CT207" i="27"/>
  <c r="BI207" i="27"/>
  <c r="BL207" i="27"/>
  <c r="BM207" i="27" s="1"/>
  <c r="CP207" i="27"/>
  <c r="CH207" i="27"/>
  <c r="CA208" i="27" l="1"/>
  <c r="BE208" i="27"/>
  <c r="AL208" i="27"/>
  <c r="BB207" i="27"/>
  <c r="AN207" i="27"/>
  <c r="AK208" i="27"/>
  <c r="CL208" i="27"/>
  <c r="E208" i="27"/>
  <c r="AM208" i="27" s="1"/>
  <c r="BY208" i="27"/>
  <c r="L208" i="27"/>
  <c r="AO207" i="27"/>
  <c r="CO207" i="27"/>
  <c r="BV207" i="27"/>
  <c r="CG209" i="27"/>
  <c r="CK209" i="27"/>
  <c r="CI209" i="27"/>
  <c r="I209" i="27"/>
  <c r="K209" i="27" s="1"/>
  <c r="CC209" i="27"/>
  <c r="B209" i="27"/>
  <c r="BC209" i="27"/>
  <c r="BH209" i="27" s="1"/>
  <c r="BK209" i="27"/>
  <c r="CN209" i="27"/>
  <c r="CD209" i="27"/>
  <c r="G209" i="27"/>
  <c r="BA209" i="27"/>
  <c r="BQ209" i="27"/>
  <c r="CF209" i="27"/>
  <c r="BN209" i="27"/>
  <c r="CJ209" i="27"/>
  <c r="CE209" i="27"/>
  <c r="AP209" i="27"/>
  <c r="BD209" i="27"/>
  <c r="CB209" i="27"/>
  <c r="BZ209" i="27"/>
  <c r="D210" i="27"/>
  <c r="H209" i="27"/>
  <c r="C209" i="27"/>
  <c r="J209" i="27" s="1"/>
  <c r="AV208" i="27"/>
  <c r="AU208" i="27"/>
  <c r="AT208" i="27"/>
  <c r="AS208" i="27"/>
  <c r="AQ208" i="27"/>
  <c r="AZ208" i="27"/>
  <c r="AY208" i="27"/>
  <c r="AR208" i="27"/>
  <c r="AX208" i="27"/>
  <c r="AW208" i="27"/>
  <c r="A208" i="27"/>
  <c r="CH208" i="27"/>
  <c r="CM208" i="27"/>
  <c r="BJ208" i="27"/>
  <c r="CT208" i="27"/>
  <c r="BI208" i="27"/>
  <c r="CS208" i="27"/>
  <c r="CP208" i="27"/>
  <c r="CR208" i="27"/>
  <c r="CQ208" i="27"/>
  <c r="BL208" i="27"/>
  <c r="BM208" i="27" s="1"/>
  <c r="CA209" i="27" l="1"/>
  <c r="BE209" i="27"/>
  <c r="BY209" i="27"/>
  <c r="AK209" i="27"/>
  <c r="AL209" i="27"/>
  <c r="BB208" i="27"/>
  <c r="AN208" i="27"/>
  <c r="CL209" i="27"/>
  <c r="E209" i="27"/>
  <c r="AM209" i="27" s="1"/>
  <c r="CO208" i="27"/>
  <c r="BV208" i="27"/>
  <c r="AO208" i="27"/>
  <c r="BL209" i="27"/>
  <c r="BM209" i="27" s="1"/>
  <c r="CQ209" i="27"/>
  <c r="BI209" i="27"/>
  <c r="CH209" i="27"/>
  <c r="A209" i="27"/>
  <c r="BJ209" i="27"/>
  <c r="CM209" i="27"/>
  <c r="CP209" i="27"/>
  <c r="CT209" i="27"/>
  <c r="CS209" i="27"/>
  <c r="CR209" i="27"/>
  <c r="AY209" i="27"/>
  <c r="AZ209" i="27"/>
  <c r="AQ209" i="27"/>
  <c r="AR209" i="27"/>
  <c r="AX209" i="27"/>
  <c r="AW209" i="27"/>
  <c r="AV209" i="27"/>
  <c r="AS209" i="27"/>
  <c r="AU209" i="27"/>
  <c r="AT209" i="27"/>
  <c r="D211" i="27"/>
  <c r="AP210" i="27"/>
  <c r="BD210" i="27"/>
  <c r="CB210" i="27"/>
  <c r="BZ210" i="27"/>
  <c r="CE210" i="27"/>
  <c r="C210" i="27"/>
  <c r="J210" i="27" s="1"/>
  <c r="BQ210" i="27"/>
  <c r="H210" i="27"/>
  <c r="CG210" i="27"/>
  <c r="CK210" i="27"/>
  <c r="CI210" i="27"/>
  <c r="I210" i="27"/>
  <c r="K210" i="27" s="1"/>
  <c r="CC210" i="27"/>
  <c r="CF210" i="27"/>
  <c r="B210" i="27"/>
  <c r="BC210" i="27"/>
  <c r="BH210" i="27" s="1"/>
  <c r="BK210" i="27"/>
  <c r="CN210" i="27"/>
  <c r="CD210" i="27"/>
  <c r="G210" i="27"/>
  <c r="BA210" i="27"/>
  <c r="BN210" i="27"/>
  <c r="CJ210" i="27"/>
  <c r="L209" i="27"/>
  <c r="CL210" i="27" l="1"/>
  <c r="BE210" i="27"/>
  <c r="BY210" i="27"/>
  <c r="AK210" i="27"/>
  <c r="CA210" i="27"/>
  <c r="E210" i="27"/>
  <c r="AM210" i="27" s="1"/>
  <c r="BB209" i="27"/>
  <c r="AN209" i="27"/>
  <c r="AL210" i="27"/>
  <c r="CT210" i="27"/>
  <c r="CS210" i="27"/>
  <c r="CP210" i="27"/>
  <c r="CR210" i="27"/>
  <c r="CH210" i="27"/>
  <c r="BL210" i="27"/>
  <c r="BM210" i="27" s="1"/>
  <c r="CM210" i="27"/>
  <c r="BJ210" i="27"/>
  <c r="CQ210" i="27"/>
  <c r="BI210" i="27"/>
  <c r="A210" i="27"/>
  <c r="AO209" i="27"/>
  <c r="BV209" i="27"/>
  <c r="CO209" i="27"/>
  <c r="AZ210" i="27"/>
  <c r="AT210" i="27"/>
  <c r="AR210" i="27"/>
  <c r="AS210" i="27"/>
  <c r="AY210" i="27"/>
  <c r="AQ210" i="27"/>
  <c r="AU210" i="27"/>
  <c r="AX210" i="27"/>
  <c r="AW210" i="27"/>
  <c r="AV210" i="27"/>
  <c r="L210" i="27"/>
  <c r="CI211" i="27"/>
  <c r="CG211" i="27"/>
  <c r="CK211" i="27"/>
  <c r="G211" i="27"/>
  <c r="I211" i="27"/>
  <c r="K211" i="27" s="1"/>
  <c r="CC211" i="27"/>
  <c r="BK211" i="27"/>
  <c r="B211" i="27"/>
  <c r="BC211" i="27"/>
  <c r="BH211" i="27" s="1"/>
  <c r="BA211" i="27"/>
  <c r="CN211" i="27"/>
  <c r="CD211" i="27"/>
  <c r="C211" i="27"/>
  <c r="J211" i="27" s="1"/>
  <c r="BQ211" i="27"/>
  <c r="H211" i="27"/>
  <c r="CF211" i="27"/>
  <c r="BN211" i="27"/>
  <c r="CJ211" i="27"/>
  <c r="D212" i="27"/>
  <c r="AP211" i="27"/>
  <c r="BD211" i="27"/>
  <c r="CB211" i="27"/>
  <c r="BZ211" i="27"/>
  <c r="CE211" i="27"/>
  <c r="CL211" i="27" l="1"/>
  <c r="BE211" i="27"/>
  <c r="AK211" i="27"/>
  <c r="E211" i="27"/>
  <c r="AM211" i="27" s="1"/>
  <c r="BY211" i="27"/>
  <c r="CA211" i="27"/>
  <c r="AL211" i="27"/>
  <c r="BB210" i="27"/>
  <c r="AN210" i="27"/>
  <c r="AX211" i="27"/>
  <c r="AS211" i="27"/>
  <c r="AU211" i="27"/>
  <c r="AW211" i="27"/>
  <c r="AQ211" i="27"/>
  <c r="AV211" i="27"/>
  <c r="AZ211" i="27"/>
  <c r="AT211" i="27"/>
  <c r="AR211" i="27"/>
  <c r="AY211" i="27"/>
  <c r="BJ211" i="27"/>
  <c r="CM211" i="27"/>
  <c r="BI211" i="27"/>
  <c r="A211" i="27"/>
  <c r="CR211" i="27"/>
  <c r="CT211" i="27"/>
  <c r="CP211" i="27"/>
  <c r="CQ211" i="27"/>
  <c r="CS211" i="27"/>
  <c r="BL211" i="27"/>
  <c r="BM211" i="27" s="1"/>
  <c r="CH211" i="27"/>
  <c r="CO210" i="27"/>
  <c r="BV210" i="27"/>
  <c r="AO210" i="27"/>
  <c r="I212" i="27"/>
  <c r="K212" i="27" s="1"/>
  <c r="CC212" i="27"/>
  <c r="CJ212" i="27"/>
  <c r="CF212" i="27"/>
  <c r="BN212" i="27"/>
  <c r="BK212" i="27"/>
  <c r="B212" i="27"/>
  <c r="BC212" i="27"/>
  <c r="BH212" i="27" s="1"/>
  <c r="CG212" i="27"/>
  <c r="BA212" i="27"/>
  <c r="CN212" i="27"/>
  <c r="CD212" i="27"/>
  <c r="G212" i="27"/>
  <c r="CB212" i="27"/>
  <c r="D213" i="27"/>
  <c r="AP212" i="27"/>
  <c r="BD212" i="27"/>
  <c r="H212" i="27"/>
  <c r="BZ212" i="27"/>
  <c r="CE212" i="27"/>
  <c r="C212" i="27"/>
  <c r="J212" i="27" s="1"/>
  <c r="BQ212" i="27"/>
  <c r="CI212" i="27"/>
  <c r="CK212" i="27"/>
  <c r="L211" i="27"/>
  <c r="CL212" i="27" l="1"/>
  <c r="BE212" i="27"/>
  <c r="BY212" i="27"/>
  <c r="AL212" i="27"/>
  <c r="CA212" i="27"/>
  <c r="E212" i="27"/>
  <c r="AM212" i="27" s="1"/>
  <c r="AK212" i="27"/>
  <c r="BB211" i="27"/>
  <c r="AN211" i="27"/>
  <c r="AQ212" i="27"/>
  <c r="AY212" i="27"/>
  <c r="AX212" i="27"/>
  <c r="AW212" i="27"/>
  <c r="AT212" i="27"/>
  <c r="AV212" i="27"/>
  <c r="AS212" i="27"/>
  <c r="AU212" i="27"/>
  <c r="AZ212" i="27"/>
  <c r="AR212" i="27"/>
  <c r="CO211" i="27"/>
  <c r="BV211" i="27"/>
  <c r="AO211" i="27"/>
  <c r="CK213" i="27"/>
  <c r="CI213" i="27"/>
  <c r="CG213" i="27"/>
  <c r="BQ213" i="27"/>
  <c r="CC213" i="27"/>
  <c r="I213" i="27"/>
  <c r="K213" i="27" s="1"/>
  <c r="C213" i="27"/>
  <c r="J213" i="27" s="1"/>
  <c r="BC213" i="27"/>
  <c r="BH213" i="27" s="1"/>
  <c r="BK213" i="27"/>
  <c r="B213" i="27"/>
  <c r="G213" i="27"/>
  <c r="BA213" i="27"/>
  <c r="CN213" i="27"/>
  <c r="CD213" i="27"/>
  <c r="BZ213" i="27"/>
  <c r="CJ213" i="27"/>
  <c r="CF213" i="27"/>
  <c r="BN213" i="27"/>
  <c r="CB213" i="27"/>
  <c r="D214" i="27"/>
  <c r="AP213" i="27"/>
  <c r="BD213" i="27"/>
  <c r="CE213" i="27"/>
  <c r="H213" i="27"/>
  <c r="L212" i="27"/>
  <c r="CP212" i="27"/>
  <c r="CS212" i="27"/>
  <c r="CH212" i="27"/>
  <c r="BJ212" i="27"/>
  <c r="BI212" i="27"/>
  <c r="CT212" i="27"/>
  <c r="A212" i="27"/>
  <c r="CQ212" i="27"/>
  <c r="CR212" i="27"/>
  <c r="CM212" i="27"/>
  <c r="BL212" i="27"/>
  <c r="BM212" i="27" s="1"/>
  <c r="AL213" i="27" l="1"/>
  <c r="CL213" i="27"/>
  <c r="BE213" i="27"/>
  <c r="AK213" i="27"/>
  <c r="BY213" i="27"/>
  <c r="E213" i="27"/>
  <c r="AM213" i="27" s="1"/>
  <c r="BB212" i="27"/>
  <c r="AN212" i="27"/>
  <c r="CA213" i="27"/>
  <c r="L213" i="27"/>
  <c r="BC214" i="27"/>
  <c r="BH214" i="27" s="1"/>
  <c r="BK214" i="27"/>
  <c r="B214" i="27"/>
  <c r="BE214" i="27" s="1"/>
  <c r="CD214" i="27"/>
  <c r="G214" i="27"/>
  <c r="BA214" i="27"/>
  <c r="CN214" i="27"/>
  <c r="BN214" i="27"/>
  <c r="CJ214" i="27"/>
  <c r="CF214" i="27"/>
  <c r="CC214" i="27"/>
  <c r="I214" i="27"/>
  <c r="K214" i="27" s="1"/>
  <c r="BD214" i="27"/>
  <c r="CB214" i="27"/>
  <c r="D215" i="27"/>
  <c r="AP214" i="27"/>
  <c r="BZ214" i="27"/>
  <c r="CE214" i="27"/>
  <c r="H214" i="27"/>
  <c r="C214" i="27"/>
  <c r="J214" i="27" s="1"/>
  <c r="BQ214" i="27"/>
  <c r="CK214" i="27"/>
  <c r="CI214" i="27"/>
  <c r="CG214" i="27"/>
  <c r="AY213" i="27"/>
  <c r="AQ213" i="27"/>
  <c r="AX213" i="27"/>
  <c r="AU213" i="27"/>
  <c r="AW213" i="27"/>
  <c r="AR213" i="27"/>
  <c r="AT213" i="27"/>
  <c r="AV213" i="27"/>
  <c r="AS213" i="27"/>
  <c r="AZ213" i="27"/>
  <c r="CQ213" i="27"/>
  <c r="CP213" i="27"/>
  <c r="CH213" i="27"/>
  <c r="BL213" i="27"/>
  <c r="BM213" i="27" s="1"/>
  <c r="BJ213" i="27"/>
  <c r="CT213" i="27"/>
  <c r="BI213" i="27"/>
  <c r="CS213" i="27"/>
  <c r="A213" i="27"/>
  <c r="CR213" i="27"/>
  <c r="CM213" i="27"/>
  <c r="CO212" i="27"/>
  <c r="BV212" i="27"/>
  <c r="AO212" i="27"/>
  <c r="BY214" i="27" l="1"/>
  <c r="CL214" i="27"/>
  <c r="CA214" i="27"/>
  <c r="AK214" i="27"/>
  <c r="BB213" i="27"/>
  <c r="AN213" i="27"/>
  <c r="E214" i="27"/>
  <c r="AM214" i="27" s="1"/>
  <c r="AL214" i="27"/>
  <c r="L214" i="27"/>
  <c r="AR214" i="27"/>
  <c r="AY214" i="27"/>
  <c r="AQ214" i="27"/>
  <c r="AV214" i="27"/>
  <c r="AX214" i="27"/>
  <c r="AU214" i="27"/>
  <c r="AW214" i="27"/>
  <c r="AT214" i="27"/>
  <c r="AS214" i="27"/>
  <c r="AZ214" i="27"/>
  <c r="CT214" i="27"/>
  <c r="BI214" i="27"/>
  <c r="CS214" i="27"/>
  <c r="A214" i="27"/>
  <c r="CR214" i="27"/>
  <c r="CM214" i="27"/>
  <c r="BL214" i="27"/>
  <c r="BM214" i="27" s="1"/>
  <c r="CQ214" i="27"/>
  <c r="CP214" i="27"/>
  <c r="CH214" i="27"/>
  <c r="BJ214" i="27"/>
  <c r="CO213" i="27"/>
  <c r="BV213" i="27"/>
  <c r="AO213" i="27"/>
  <c r="CE215" i="27"/>
  <c r="BZ215" i="27"/>
  <c r="BQ215" i="27"/>
  <c r="H215" i="27"/>
  <c r="C215" i="27"/>
  <c r="J215" i="27" s="1"/>
  <c r="CK215" i="27"/>
  <c r="CI215" i="27"/>
  <c r="CG215" i="27"/>
  <c r="I215" i="27"/>
  <c r="K215" i="27" s="1"/>
  <c r="CC215" i="27"/>
  <c r="BC215" i="27"/>
  <c r="BH215" i="27" s="1"/>
  <c r="BK215" i="27"/>
  <c r="B215" i="27"/>
  <c r="CD215" i="27"/>
  <c r="G215" i="27"/>
  <c r="BA215" i="27"/>
  <c r="CN215" i="27"/>
  <c r="BN215" i="27"/>
  <c r="CJ215" i="27"/>
  <c r="CF215" i="27"/>
  <c r="BD215" i="27"/>
  <c r="CB215" i="27"/>
  <c r="D216" i="27"/>
  <c r="AP215" i="27"/>
  <c r="CL215" i="27" l="1"/>
  <c r="BE215" i="27"/>
  <c r="BY215" i="27"/>
  <c r="CA215" i="27"/>
  <c r="E215" i="27"/>
  <c r="AM215" i="27" s="1"/>
  <c r="AK215" i="27"/>
  <c r="AL215" i="27"/>
  <c r="BB214" i="27"/>
  <c r="AN214" i="27"/>
  <c r="AS215" i="27"/>
  <c r="AZ215" i="27"/>
  <c r="AR215" i="27"/>
  <c r="AY215" i="27"/>
  <c r="AW215" i="27"/>
  <c r="AQ215" i="27"/>
  <c r="AT215" i="27"/>
  <c r="AV215" i="27"/>
  <c r="AX215" i="27"/>
  <c r="AU215" i="27"/>
  <c r="AO214" i="27"/>
  <c r="BV214" i="27"/>
  <c r="CO214" i="27"/>
  <c r="CK216" i="27"/>
  <c r="CI216" i="27"/>
  <c r="CG216" i="27"/>
  <c r="I216" i="27"/>
  <c r="K216" i="27" s="1"/>
  <c r="CC216" i="27"/>
  <c r="H216" i="27"/>
  <c r="BC216" i="27"/>
  <c r="BH216" i="27" s="1"/>
  <c r="BK216" i="27"/>
  <c r="B216" i="27"/>
  <c r="BQ216" i="27"/>
  <c r="C216" i="27"/>
  <c r="J216" i="27" s="1"/>
  <c r="CN216" i="27"/>
  <c r="CD216" i="27"/>
  <c r="G216" i="27"/>
  <c r="BA216" i="27"/>
  <c r="CF216" i="27"/>
  <c r="BN216" i="27"/>
  <c r="CJ216" i="27"/>
  <c r="AP216" i="27"/>
  <c r="BD216" i="27"/>
  <c r="CB216" i="27"/>
  <c r="D217" i="27"/>
  <c r="CE216" i="27"/>
  <c r="BZ216" i="27"/>
  <c r="L215" i="27"/>
  <c r="CM215" i="27"/>
  <c r="BJ215" i="27"/>
  <c r="CT215" i="27"/>
  <c r="BI215" i="27"/>
  <c r="CH215" i="27"/>
  <c r="CS215" i="27"/>
  <c r="A215" i="27"/>
  <c r="CR215" i="27"/>
  <c r="BL215" i="27"/>
  <c r="BM215" i="27" s="1"/>
  <c r="CQ215" i="27"/>
  <c r="CP215" i="27"/>
  <c r="CA216" i="27" l="1"/>
  <c r="BE216" i="27"/>
  <c r="AL216" i="27"/>
  <c r="AK216" i="27"/>
  <c r="CL216" i="27"/>
  <c r="E216" i="27"/>
  <c r="AM216" i="27" s="1"/>
  <c r="BB215" i="27"/>
  <c r="AN215" i="27"/>
  <c r="BY216" i="27"/>
  <c r="BV215" i="27"/>
  <c r="CO215" i="27"/>
  <c r="AO215" i="27"/>
  <c r="CQ216" i="27"/>
  <c r="BL216" i="27"/>
  <c r="BM216" i="27" s="1"/>
  <c r="CP216" i="27"/>
  <c r="A216" i="27"/>
  <c r="CH216" i="27"/>
  <c r="CM216" i="27"/>
  <c r="BJ216" i="27"/>
  <c r="CR216" i="27"/>
  <c r="CT216" i="27"/>
  <c r="BI216" i="27"/>
  <c r="CS216" i="27"/>
  <c r="L216" i="27"/>
  <c r="CG217" i="27"/>
  <c r="CK217" i="27"/>
  <c r="CI217" i="27"/>
  <c r="I217" i="27"/>
  <c r="K217" i="27" s="1"/>
  <c r="CC217" i="27"/>
  <c r="BQ217" i="27"/>
  <c r="H217" i="27"/>
  <c r="C217" i="27"/>
  <c r="J217" i="27" s="1"/>
  <c r="B217" i="27"/>
  <c r="BC217" i="27"/>
  <c r="BH217" i="27" s="1"/>
  <c r="BK217" i="27"/>
  <c r="CN217" i="27"/>
  <c r="CD217" i="27"/>
  <c r="G217" i="27"/>
  <c r="BA217" i="27"/>
  <c r="CE217" i="27"/>
  <c r="D218" i="27"/>
  <c r="CF217" i="27"/>
  <c r="BN217" i="27"/>
  <c r="CJ217" i="27"/>
  <c r="AP217" i="27"/>
  <c r="BD217" i="27"/>
  <c r="CB217" i="27"/>
  <c r="BZ217" i="27"/>
  <c r="AX216" i="27"/>
  <c r="AY216" i="27"/>
  <c r="AW216" i="27"/>
  <c r="AQ216" i="27"/>
  <c r="AR216" i="27"/>
  <c r="AV216" i="27"/>
  <c r="AU216" i="27"/>
  <c r="AT216" i="27"/>
  <c r="AZ216" i="27"/>
  <c r="AS216" i="27"/>
  <c r="AK217" i="27" l="1"/>
  <c r="AL217" i="27"/>
  <c r="CL217" i="27"/>
  <c r="BE217" i="27"/>
  <c r="E217" i="27"/>
  <c r="AM217" i="27" s="1"/>
  <c r="BB216" i="27"/>
  <c r="AN216" i="27"/>
  <c r="CA217" i="27"/>
  <c r="BY217" i="27"/>
  <c r="L217" i="27"/>
  <c r="BV216" i="27"/>
  <c r="AO216" i="27"/>
  <c r="CO216" i="27"/>
  <c r="D219" i="27"/>
  <c r="AP218" i="27"/>
  <c r="BD218" i="27"/>
  <c r="CB218" i="27"/>
  <c r="BZ218" i="27"/>
  <c r="CE218" i="27"/>
  <c r="C218" i="27"/>
  <c r="J218" i="27" s="1"/>
  <c r="BQ218" i="27"/>
  <c r="H218" i="27"/>
  <c r="CG218" i="27"/>
  <c r="CK218" i="27"/>
  <c r="CI218" i="27"/>
  <c r="I218" i="27"/>
  <c r="K218" i="27" s="1"/>
  <c r="CC218" i="27"/>
  <c r="B218" i="27"/>
  <c r="BE218" i="27" s="1"/>
  <c r="BC218" i="27"/>
  <c r="BH218" i="27" s="1"/>
  <c r="BK218" i="27"/>
  <c r="CN218" i="27"/>
  <c r="CD218" i="27"/>
  <c r="G218" i="27"/>
  <c r="BA218" i="27"/>
  <c r="CF218" i="27"/>
  <c r="BN218" i="27"/>
  <c r="CJ218" i="27"/>
  <c r="CT217" i="27"/>
  <c r="CS217" i="27"/>
  <c r="CR217" i="27"/>
  <c r="BL217" i="27"/>
  <c r="BM217" i="27" s="1"/>
  <c r="CQ217" i="27"/>
  <c r="BI217" i="27"/>
  <c r="CP217" i="27"/>
  <c r="BJ217" i="27"/>
  <c r="A217" i="27"/>
  <c r="CH217" i="27"/>
  <c r="CM217" i="27"/>
  <c r="AY217" i="27"/>
  <c r="AZ217" i="27"/>
  <c r="AQ217" i="27"/>
  <c r="AR217" i="27"/>
  <c r="AX217" i="27"/>
  <c r="AW217" i="27"/>
  <c r="AV217" i="27"/>
  <c r="AU217" i="27"/>
  <c r="AT217" i="27"/>
  <c r="AS217" i="27"/>
  <c r="E218" i="27" l="1"/>
  <c r="AM218" i="27" s="1"/>
  <c r="BY218" i="27"/>
  <c r="BB217" i="27"/>
  <c r="AN217" i="27"/>
  <c r="CL218" i="27"/>
  <c r="CA218" i="27"/>
  <c r="AK218" i="27"/>
  <c r="AL218" i="27"/>
  <c r="L218" i="27"/>
  <c r="C219" i="27"/>
  <c r="J219" i="27" s="1"/>
  <c r="BQ219" i="27"/>
  <c r="H219" i="27"/>
  <c r="BZ219" i="27"/>
  <c r="CE219" i="27"/>
  <c r="CI219" i="27"/>
  <c r="CG219" i="27"/>
  <c r="CK219" i="27"/>
  <c r="I219" i="27"/>
  <c r="K219" i="27" s="1"/>
  <c r="CC219" i="27"/>
  <c r="BK219" i="27"/>
  <c r="B219" i="27"/>
  <c r="BC219" i="27"/>
  <c r="BH219" i="27" s="1"/>
  <c r="BA219" i="27"/>
  <c r="CN219" i="27"/>
  <c r="CD219" i="27"/>
  <c r="G219" i="27"/>
  <c r="CF219" i="27"/>
  <c r="BN219" i="27"/>
  <c r="CJ219" i="27"/>
  <c r="D220" i="27"/>
  <c r="AP219" i="27"/>
  <c r="BD219" i="27"/>
  <c r="CB219" i="27"/>
  <c r="CM218" i="27"/>
  <c r="A218" i="27"/>
  <c r="CT218" i="27"/>
  <c r="CS218" i="27"/>
  <c r="CP218" i="27"/>
  <c r="CR218" i="27"/>
  <c r="CH218" i="27"/>
  <c r="BL218" i="27"/>
  <c r="BM218" i="27" s="1"/>
  <c r="BJ218" i="27"/>
  <c r="CQ218" i="27"/>
  <c r="BI218" i="27"/>
  <c r="AY218" i="27"/>
  <c r="AQ218" i="27"/>
  <c r="AX218" i="27"/>
  <c r="AS218" i="27"/>
  <c r="AW218" i="27"/>
  <c r="AV218" i="27"/>
  <c r="AU218" i="27"/>
  <c r="AZ218" i="27"/>
  <c r="AT218" i="27"/>
  <c r="AR218" i="27"/>
  <c r="CO217" i="27"/>
  <c r="BV217" i="27"/>
  <c r="AO217" i="27"/>
  <c r="CA219" i="27" l="1"/>
  <c r="BE219" i="27"/>
  <c r="AL219" i="27"/>
  <c r="AK219" i="27"/>
  <c r="CL219" i="27"/>
  <c r="BB218" i="27"/>
  <c r="AN218" i="27"/>
  <c r="BY219" i="27"/>
  <c r="E219" i="27"/>
  <c r="AM219" i="27" s="1"/>
  <c r="L219" i="27"/>
  <c r="CI220" i="27"/>
  <c r="I220" i="27"/>
  <c r="K220" i="27" s="1"/>
  <c r="CC220" i="27"/>
  <c r="B220" i="27"/>
  <c r="BC220" i="27"/>
  <c r="BH220" i="27" s="1"/>
  <c r="BK220" i="27"/>
  <c r="CN220" i="27"/>
  <c r="CD220" i="27"/>
  <c r="G220" i="27"/>
  <c r="D221" i="27"/>
  <c r="BA220" i="27"/>
  <c r="CF220" i="27"/>
  <c r="BN220" i="27"/>
  <c r="CJ220" i="27"/>
  <c r="AP220" i="27"/>
  <c r="BD220" i="27"/>
  <c r="CB220" i="27"/>
  <c r="BZ220" i="27"/>
  <c r="CE220" i="27"/>
  <c r="CG220" i="27"/>
  <c r="CK220" i="27"/>
  <c r="C220" i="27"/>
  <c r="J220" i="27" s="1"/>
  <c r="BQ220" i="27"/>
  <c r="H220" i="27"/>
  <c r="AX219" i="27"/>
  <c r="AW219" i="27"/>
  <c r="AV219" i="27"/>
  <c r="AS219" i="27"/>
  <c r="AU219" i="27"/>
  <c r="AZ219" i="27"/>
  <c r="AT219" i="27"/>
  <c r="AR219" i="27"/>
  <c r="AY219" i="27"/>
  <c r="AQ219" i="27"/>
  <c r="CO218" i="27"/>
  <c r="BV218" i="27"/>
  <c r="AO218" i="27"/>
  <c r="BJ219" i="27"/>
  <c r="BI219" i="27"/>
  <c r="A219" i="27"/>
  <c r="CM219" i="27"/>
  <c r="CT219" i="27"/>
  <c r="CQ219" i="27"/>
  <c r="CS219" i="27"/>
  <c r="CH219" i="27"/>
  <c r="CP219" i="27"/>
  <c r="CR219" i="27"/>
  <c r="BL219" i="27"/>
  <c r="BM219" i="27" s="1"/>
  <c r="CA220" i="27" l="1"/>
  <c r="BE220" i="27"/>
  <c r="E220" i="27"/>
  <c r="AM220" i="27" s="1"/>
  <c r="CL220" i="27"/>
  <c r="AL220" i="27"/>
  <c r="BB219" i="27"/>
  <c r="AN219" i="27"/>
  <c r="AK220" i="27"/>
  <c r="BY220" i="27"/>
  <c r="CQ220" i="27"/>
  <c r="BL220" i="27"/>
  <c r="BM220" i="27" s="1"/>
  <c r="CP220" i="27"/>
  <c r="CH220" i="27"/>
  <c r="BJ220" i="27"/>
  <c r="BI220" i="27"/>
  <c r="CS220" i="27"/>
  <c r="CT220" i="27"/>
  <c r="A220" i="27"/>
  <c r="CR220" i="27"/>
  <c r="CM220" i="27"/>
  <c r="BN221" i="27"/>
  <c r="CI221" i="27"/>
  <c r="CK221" i="27"/>
  <c r="BC221" i="27"/>
  <c r="BH221" i="27" s="1"/>
  <c r="BD221" i="27"/>
  <c r="G221" i="27"/>
  <c r="CC221" i="27"/>
  <c r="CE221" i="27"/>
  <c r="BK221" i="27"/>
  <c r="D222" i="27"/>
  <c r="BQ221" i="27"/>
  <c r="H221" i="27"/>
  <c r="BA221" i="27"/>
  <c r="C221" i="27"/>
  <c r="J221" i="27" s="1"/>
  <c r="CJ221" i="27"/>
  <c r="CG221" i="27"/>
  <c r="AP221" i="27"/>
  <c r="I221" i="27"/>
  <c r="K221" i="27" s="1"/>
  <c r="CB221" i="27"/>
  <c r="BZ221" i="27"/>
  <c r="B221" i="27"/>
  <c r="CD221" i="27"/>
  <c r="CN221" i="27"/>
  <c r="CF221" i="27"/>
  <c r="AT220" i="27"/>
  <c r="AV220" i="27"/>
  <c r="AW220" i="27"/>
  <c r="AS220" i="27"/>
  <c r="AU220" i="27"/>
  <c r="AZ220" i="27"/>
  <c r="AR220" i="27"/>
  <c r="AY220" i="27"/>
  <c r="AQ220" i="27"/>
  <c r="AX220" i="27"/>
  <c r="L220" i="27"/>
  <c r="CO219" i="27"/>
  <c r="BV219" i="27"/>
  <c r="AO219" i="27"/>
  <c r="E221" i="27" l="1"/>
  <c r="AM221" i="27" s="1"/>
  <c r="BE221" i="27"/>
  <c r="AL221" i="27"/>
  <c r="BY221" i="27"/>
  <c r="AK221" i="27"/>
  <c r="CA221" i="27"/>
  <c r="CL221" i="27"/>
  <c r="BB220" i="27"/>
  <c r="AN220" i="27"/>
  <c r="L221" i="27"/>
  <c r="CN222" i="27"/>
  <c r="CD222" i="27"/>
  <c r="CF222" i="27"/>
  <c r="BN222" i="27"/>
  <c r="H222" i="27"/>
  <c r="AP222" i="27"/>
  <c r="CK222" i="27"/>
  <c r="D223" i="27"/>
  <c r="BK222" i="27"/>
  <c r="CE222" i="27"/>
  <c r="CC222" i="27"/>
  <c r="CG222" i="27"/>
  <c r="C222" i="27"/>
  <c r="J222" i="27" s="1"/>
  <c r="BZ222" i="27"/>
  <c r="BQ222" i="27"/>
  <c r="BC222" i="27"/>
  <c r="BH222" i="27" s="1"/>
  <c r="BA222" i="27"/>
  <c r="CI222" i="27"/>
  <c r="G222" i="27"/>
  <c r="B222" i="27"/>
  <c r="I222" i="27"/>
  <c r="K222" i="27" s="1"/>
  <c r="CJ222" i="27"/>
  <c r="BD222" i="27"/>
  <c r="CB222" i="27"/>
  <c r="BL221" i="27"/>
  <c r="BM221" i="27" s="1"/>
  <c r="CQ221" i="27"/>
  <c r="CP221" i="27"/>
  <c r="CH221" i="27"/>
  <c r="CS221" i="27"/>
  <c r="BJ221" i="27"/>
  <c r="CR221" i="27"/>
  <c r="CM221" i="27"/>
  <c r="BI221" i="27"/>
  <c r="CT221" i="27"/>
  <c r="A221" i="27"/>
  <c r="AY221" i="27"/>
  <c r="AX221" i="27"/>
  <c r="AU221" i="27"/>
  <c r="AW221" i="27"/>
  <c r="AR221" i="27"/>
  <c r="AZ221" i="27"/>
  <c r="AV221" i="27"/>
  <c r="AQ221" i="27"/>
  <c r="AT221" i="27"/>
  <c r="AS221" i="27"/>
  <c r="CO220" i="27"/>
  <c r="BV220" i="27"/>
  <c r="AO220" i="27"/>
  <c r="CA222" i="27" l="1"/>
  <c r="BE222" i="27"/>
  <c r="AL222" i="27"/>
  <c r="BB221" i="27"/>
  <c r="AN221" i="27"/>
  <c r="AK222" i="27"/>
  <c r="CL222" i="27"/>
  <c r="E222" i="27"/>
  <c r="AM222" i="27" s="1"/>
  <c r="BY222" i="27"/>
  <c r="AX222" i="27"/>
  <c r="AR222" i="27"/>
  <c r="AW222" i="27"/>
  <c r="AQ222" i="27"/>
  <c r="AU222" i="27"/>
  <c r="AT222" i="27"/>
  <c r="AZ222" i="27"/>
  <c r="AY222" i="27"/>
  <c r="AS222" i="27"/>
  <c r="AV222" i="27"/>
  <c r="L222" i="27"/>
  <c r="CS222" i="27"/>
  <c r="CR222" i="27"/>
  <c r="BL222" i="27"/>
  <c r="BM222" i="27" s="1"/>
  <c r="CP222" i="27"/>
  <c r="CQ222" i="27"/>
  <c r="A222" i="27"/>
  <c r="BJ222" i="27"/>
  <c r="CH222" i="27"/>
  <c r="CM222" i="27"/>
  <c r="BI222" i="27"/>
  <c r="CT222" i="27"/>
  <c r="CG223" i="27"/>
  <c r="CK223" i="27"/>
  <c r="I223" i="27"/>
  <c r="K223" i="27" s="1"/>
  <c r="CC223" i="27"/>
  <c r="CB223" i="27"/>
  <c r="B223" i="27"/>
  <c r="BE223" i="27" s="1"/>
  <c r="BC223" i="27"/>
  <c r="BH223" i="27" s="1"/>
  <c r="CN223" i="27"/>
  <c r="CD223" i="27"/>
  <c r="G223" i="27"/>
  <c r="BZ223" i="27"/>
  <c r="CF223" i="27"/>
  <c r="BN223" i="27"/>
  <c r="CI223" i="27"/>
  <c r="AP223" i="27"/>
  <c r="BD223" i="27"/>
  <c r="D224" i="27"/>
  <c r="BQ223" i="27"/>
  <c r="H223" i="27"/>
  <c r="CJ223" i="27"/>
  <c r="CE223" i="27"/>
  <c r="BK223" i="27"/>
  <c r="C223" i="27"/>
  <c r="J223" i="27" s="1"/>
  <c r="BA223" i="27"/>
  <c r="AO221" i="27"/>
  <c r="CO221" i="27"/>
  <c r="BV221" i="27"/>
  <c r="E223" i="27" l="1"/>
  <c r="AM223" i="27" s="1"/>
  <c r="CL223" i="27"/>
  <c r="CA223" i="27"/>
  <c r="BB222" i="27"/>
  <c r="AN222" i="27"/>
  <c r="BY223" i="27"/>
  <c r="AL223" i="27"/>
  <c r="AK223" i="27"/>
  <c r="CT223" i="27"/>
  <c r="CS223" i="27"/>
  <c r="CQ223" i="27"/>
  <c r="CM223" i="27"/>
  <c r="CH223" i="27"/>
  <c r="BL223" i="27"/>
  <c r="BM223" i="27" s="1"/>
  <c r="BJ223" i="27"/>
  <c r="BI223" i="27"/>
  <c r="CR223" i="27"/>
  <c r="A223" i="27"/>
  <c r="CP223" i="27"/>
  <c r="AY223" i="27"/>
  <c r="AT223" i="27"/>
  <c r="AQ223" i="27"/>
  <c r="AR223" i="27"/>
  <c r="AX223" i="27"/>
  <c r="AZ223" i="27"/>
  <c r="AW223" i="27"/>
  <c r="AV223" i="27"/>
  <c r="AU223" i="27"/>
  <c r="AS223" i="27"/>
  <c r="L223" i="27"/>
  <c r="CN224" i="27"/>
  <c r="CD224" i="27"/>
  <c r="CK224" i="27"/>
  <c r="CF224" i="27"/>
  <c r="BN224" i="27"/>
  <c r="CC224" i="27"/>
  <c r="CI224" i="27"/>
  <c r="D225" i="27"/>
  <c r="AP224" i="27"/>
  <c r="BD224" i="27"/>
  <c r="B224" i="27"/>
  <c r="BA224" i="27"/>
  <c r="BZ224" i="27"/>
  <c r="CE224" i="27"/>
  <c r="C224" i="27"/>
  <c r="J224" i="27" s="1"/>
  <c r="BQ224" i="27"/>
  <c r="H224" i="27"/>
  <c r="G224" i="27"/>
  <c r="CG224" i="27"/>
  <c r="CJ224" i="27"/>
  <c r="BK224" i="27"/>
  <c r="I224" i="27"/>
  <c r="K224" i="27" s="1"/>
  <c r="CB224" i="27"/>
  <c r="BC224" i="27"/>
  <c r="BH224" i="27" s="1"/>
  <c r="BV222" i="27"/>
  <c r="AO222" i="27"/>
  <c r="CO222" i="27"/>
  <c r="CA224" i="27" l="1"/>
  <c r="BE224" i="27"/>
  <c r="BY224" i="27"/>
  <c r="E224" i="27"/>
  <c r="AM224" i="27" s="1"/>
  <c r="CL224" i="27"/>
  <c r="BB223" i="27"/>
  <c r="AN223" i="27"/>
  <c r="AL224" i="27"/>
  <c r="AK224" i="27"/>
  <c r="L224" i="27"/>
  <c r="I225" i="27"/>
  <c r="K225" i="27" s="1"/>
  <c r="BK225" i="27"/>
  <c r="B225" i="27"/>
  <c r="CK225" i="27"/>
  <c r="BN225" i="27"/>
  <c r="CI225" i="27"/>
  <c r="BA225" i="27"/>
  <c r="CN225" i="27"/>
  <c r="CC225" i="27"/>
  <c r="H225" i="27"/>
  <c r="CF225" i="27"/>
  <c r="BC225" i="27"/>
  <c r="BH225" i="27" s="1"/>
  <c r="D226" i="27"/>
  <c r="AP225" i="27"/>
  <c r="G225" i="27"/>
  <c r="BD225" i="27"/>
  <c r="CG225" i="27"/>
  <c r="CB225" i="27"/>
  <c r="BZ225" i="27"/>
  <c r="CE225" i="27"/>
  <c r="CD225" i="27"/>
  <c r="C225" i="27"/>
  <c r="J225" i="27" s="1"/>
  <c r="BQ225" i="27"/>
  <c r="CJ225" i="27"/>
  <c r="AY224" i="27"/>
  <c r="AU224" i="27"/>
  <c r="AQ224" i="27"/>
  <c r="AX224" i="27"/>
  <c r="AW224" i="27"/>
  <c r="AZ224" i="27"/>
  <c r="AV224" i="27"/>
  <c r="AR224" i="27"/>
  <c r="AS224" i="27"/>
  <c r="AT224" i="27"/>
  <c r="CP224" i="27"/>
  <c r="BL224" i="27"/>
  <c r="BM224" i="27" s="1"/>
  <c r="CH224" i="27"/>
  <c r="CS224" i="27"/>
  <c r="BJ224" i="27"/>
  <c r="CQ224" i="27"/>
  <c r="BI224" i="27"/>
  <c r="A224" i="27"/>
  <c r="CR224" i="27"/>
  <c r="CM224" i="27"/>
  <c r="CT224" i="27"/>
  <c r="CO223" i="27"/>
  <c r="BV223" i="27"/>
  <c r="AO223" i="27"/>
  <c r="CL225" i="27" l="1"/>
  <c r="BE225" i="27"/>
  <c r="CA225" i="27"/>
  <c r="AK225" i="27"/>
  <c r="E225" i="27"/>
  <c r="AM225" i="27" s="1"/>
  <c r="AL225" i="27"/>
  <c r="BB224" i="27"/>
  <c r="AN224" i="27"/>
  <c r="BY225" i="27"/>
  <c r="BJ225" i="27"/>
  <c r="BI225" i="27"/>
  <c r="A225" i="27"/>
  <c r="CM225" i="27"/>
  <c r="CS225" i="27"/>
  <c r="CQ225" i="27"/>
  <c r="BL225" i="27"/>
  <c r="BM225" i="27" s="1"/>
  <c r="CP225" i="27"/>
  <c r="CT225" i="27"/>
  <c r="CH225" i="27"/>
  <c r="CR225" i="27"/>
  <c r="L225" i="27"/>
  <c r="CO224" i="27"/>
  <c r="BV224" i="27"/>
  <c r="AO224" i="27"/>
  <c r="CJ226" i="27"/>
  <c r="CF226" i="27"/>
  <c r="CE226" i="27"/>
  <c r="CB226" i="27"/>
  <c r="D227" i="27"/>
  <c r="AP226" i="27"/>
  <c r="CC226" i="27"/>
  <c r="BZ226" i="27"/>
  <c r="BQ226" i="27"/>
  <c r="C226" i="27"/>
  <c r="J226" i="27" s="1"/>
  <c r="CD226" i="27"/>
  <c r="I226" i="27"/>
  <c r="K226" i="27" s="1"/>
  <c r="CI226" i="27"/>
  <c r="CG226" i="27"/>
  <c r="BN226" i="27"/>
  <c r="G226" i="27"/>
  <c r="BD226" i="27"/>
  <c r="BK226" i="27"/>
  <c r="B226" i="27"/>
  <c r="BC226" i="27"/>
  <c r="BH226" i="27" s="1"/>
  <c r="BA226" i="27"/>
  <c r="CN226" i="27"/>
  <c r="H226" i="27"/>
  <c r="CK226" i="27"/>
  <c r="AX225" i="27"/>
  <c r="AW225" i="27"/>
  <c r="AU225" i="27"/>
  <c r="AS225" i="27"/>
  <c r="AV225" i="27"/>
  <c r="AZ225" i="27"/>
  <c r="AT225" i="27"/>
  <c r="AR225" i="27"/>
  <c r="AY225" i="27"/>
  <c r="AQ225" i="27"/>
  <c r="CL226" i="27" l="1"/>
  <c r="BE226" i="27"/>
  <c r="BY226" i="27"/>
  <c r="AK226" i="27"/>
  <c r="BB225" i="27"/>
  <c r="AN225" i="27"/>
  <c r="AL226" i="27"/>
  <c r="CA226" i="27"/>
  <c r="E226" i="27"/>
  <c r="AM226" i="27" s="1"/>
  <c r="L226" i="27"/>
  <c r="C227" i="27"/>
  <c r="J227" i="27" s="1"/>
  <c r="CF227" i="27"/>
  <c r="CK227" i="27"/>
  <c r="CI227" i="27"/>
  <c r="CG227" i="27"/>
  <c r="AP227" i="27"/>
  <c r="CC227" i="27"/>
  <c r="CD227" i="27"/>
  <c r="BZ227" i="27"/>
  <c r="CN227" i="27"/>
  <c r="BC227" i="27"/>
  <c r="BH227" i="27" s="1"/>
  <c r="BK227" i="27"/>
  <c r="B227" i="27"/>
  <c r="CJ227" i="27"/>
  <c r="BQ227" i="27"/>
  <c r="H227" i="27"/>
  <c r="CB227" i="27"/>
  <c r="D228" i="27"/>
  <c r="BD227" i="27"/>
  <c r="AL227" i="27"/>
  <c r="I227" i="27"/>
  <c r="K227" i="27" s="1"/>
  <c r="G227" i="27"/>
  <c r="BA227" i="27"/>
  <c r="CE227" i="27"/>
  <c r="BN227" i="27"/>
  <c r="AQ226" i="27"/>
  <c r="AX226" i="27"/>
  <c r="AV226" i="27"/>
  <c r="AZ226" i="27"/>
  <c r="AT226" i="27"/>
  <c r="AW226" i="27"/>
  <c r="AR226" i="27"/>
  <c r="AY226" i="27"/>
  <c r="AS226" i="27"/>
  <c r="AU226" i="27"/>
  <c r="AO225" i="27"/>
  <c r="BV225" i="27"/>
  <c r="CO225" i="27"/>
  <c r="CR226" i="27"/>
  <c r="CT226" i="27"/>
  <c r="BL226" i="27"/>
  <c r="BM226" i="27" s="1"/>
  <c r="CS226" i="27"/>
  <c r="CQ226" i="27"/>
  <c r="CM226" i="27"/>
  <c r="A226" i="27"/>
  <c r="CP226" i="27"/>
  <c r="BJ226" i="27"/>
  <c r="BI226" i="27"/>
  <c r="CH226" i="27"/>
  <c r="BY227" i="27" l="1"/>
  <c r="CA227" i="27"/>
  <c r="BE227" i="27"/>
  <c r="AK227" i="27"/>
  <c r="BB226" i="27"/>
  <c r="AN226" i="27"/>
  <c r="E227" i="27"/>
  <c r="AM227" i="27" s="1"/>
  <c r="CL227" i="27"/>
  <c r="L227" i="27"/>
  <c r="H228" i="27"/>
  <c r="C228" i="27"/>
  <c r="J228" i="27" s="1"/>
  <c r="I228" i="27"/>
  <c r="K228" i="27" s="1"/>
  <c r="CK228" i="27"/>
  <c r="CI228" i="27"/>
  <c r="CN228" i="27"/>
  <c r="B228" i="27"/>
  <c r="BE228" i="27" s="1"/>
  <c r="CC228" i="27"/>
  <c r="CF228" i="27"/>
  <c r="BC228" i="27"/>
  <c r="BH228" i="27" s="1"/>
  <c r="BK228" i="27"/>
  <c r="AP228" i="27"/>
  <c r="CE228" i="27"/>
  <c r="BZ228" i="27"/>
  <c r="BQ228" i="27"/>
  <c r="CD228" i="27"/>
  <c r="G228" i="27"/>
  <c r="BA228" i="27"/>
  <c r="CG228" i="27"/>
  <c r="BN228" i="27"/>
  <c r="CJ228" i="27"/>
  <c r="BD228" i="27"/>
  <c r="CB228" i="27"/>
  <c r="D229" i="27"/>
  <c r="AY227" i="27"/>
  <c r="AQ227" i="27"/>
  <c r="AW227" i="27"/>
  <c r="AU227" i="27"/>
  <c r="AX227" i="27"/>
  <c r="AT227" i="27"/>
  <c r="AV227" i="27"/>
  <c r="AS227" i="27"/>
  <c r="AR227" i="27"/>
  <c r="AZ227" i="27"/>
  <c r="CO226" i="27"/>
  <c r="BV226" i="27"/>
  <c r="AO226" i="27"/>
  <c r="CQ227" i="27"/>
  <c r="CP227" i="27"/>
  <c r="CH227" i="27"/>
  <c r="BJ227" i="27"/>
  <c r="BL227" i="27"/>
  <c r="BM227" i="27" s="1"/>
  <c r="BI227" i="27"/>
  <c r="CS227" i="27"/>
  <c r="CM227" i="27"/>
  <c r="CT227" i="27"/>
  <c r="CR227" i="27"/>
  <c r="A227" i="27"/>
  <c r="CL228" i="27" l="1"/>
  <c r="AL228" i="27"/>
  <c r="BY228" i="27"/>
  <c r="AK228" i="27"/>
  <c r="BB227" i="27"/>
  <c r="AN227" i="27"/>
  <c r="CA228" i="27"/>
  <c r="E228" i="27"/>
  <c r="AM228" i="27" s="1"/>
  <c r="L228" i="27"/>
  <c r="CP228" i="27"/>
  <c r="CH228" i="27"/>
  <c r="BJ228" i="27"/>
  <c r="CT228" i="27"/>
  <c r="A228" i="27"/>
  <c r="CS228" i="27"/>
  <c r="BI228" i="27"/>
  <c r="CR228" i="27"/>
  <c r="CM228" i="27"/>
  <c r="BL228" i="27"/>
  <c r="BM228" i="27" s="1"/>
  <c r="CQ228" i="27"/>
  <c r="CD229" i="27"/>
  <c r="G229" i="27"/>
  <c r="BA229" i="27"/>
  <c r="D230" i="27"/>
  <c r="BN229" i="27"/>
  <c r="CJ229" i="27"/>
  <c r="C229" i="27"/>
  <c r="J229" i="27" s="1"/>
  <c r="BD229" i="27"/>
  <c r="CB229" i="27"/>
  <c r="CG229" i="27"/>
  <c r="CN229" i="27"/>
  <c r="CE229" i="27"/>
  <c r="BQ229" i="27"/>
  <c r="H229" i="27"/>
  <c r="B229" i="27"/>
  <c r="CK229" i="27"/>
  <c r="CI229" i="27"/>
  <c r="CF229" i="27"/>
  <c r="I229" i="27"/>
  <c r="K229" i="27" s="1"/>
  <c r="CC229" i="27"/>
  <c r="AP229" i="27"/>
  <c r="BC229" i="27"/>
  <c r="BH229" i="27" s="1"/>
  <c r="BK229" i="27"/>
  <c r="BZ229" i="27"/>
  <c r="AT228" i="27"/>
  <c r="AS228" i="27"/>
  <c r="AZ228" i="27"/>
  <c r="AR228" i="27"/>
  <c r="AX228" i="27"/>
  <c r="AQ228" i="27"/>
  <c r="AV228" i="27"/>
  <c r="AY228" i="27"/>
  <c r="AU228" i="27"/>
  <c r="AW228" i="27"/>
  <c r="CO227" i="27"/>
  <c r="AO227" i="27"/>
  <c r="BV227" i="27"/>
  <c r="E229" i="27" l="1"/>
  <c r="AM229" i="27" s="1"/>
  <c r="BE229" i="27"/>
  <c r="BY229" i="27"/>
  <c r="AL229" i="27"/>
  <c r="AK229" i="27"/>
  <c r="BB228" i="27"/>
  <c r="AN228" i="27"/>
  <c r="CL229" i="27"/>
  <c r="CA229" i="27"/>
  <c r="CQ229" i="27"/>
  <c r="BI229" i="27"/>
  <c r="CH229" i="27"/>
  <c r="CM229" i="27"/>
  <c r="BJ229" i="27"/>
  <c r="CT229" i="27"/>
  <c r="A229" i="27"/>
  <c r="CS229" i="27"/>
  <c r="CP229" i="27"/>
  <c r="CR229" i="27"/>
  <c r="BL229" i="27"/>
  <c r="BM229" i="27" s="1"/>
  <c r="CN230" i="27"/>
  <c r="CD230" i="27"/>
  <c r="G230" i="27"/>
  <c r="CI230" i="27"/>
  <c r="CF230" i="27"/>
  <c r="BN230" i="27"/>
  <c r="CJ230" i="27"/>
  <c r="CG230" i="27"/>
  <c r="AP230" i="27"/>
  <c r="BD230" i="27"/>
  <c r="CB230" i="27"/>
  <c r="CE230" i="27"/>
  <c r="BQ230" i="27"/>
  <c r="H230" i="27"/>
  <c r="BC230" i="27"/>
  <c r="BH230" i="27" s="1"/>
  <c r="BA230" i="27"/>
  <c r="CK230" i="27"/>
  <c r="D231" i="27"/>
  <c r="BK230" i="27"/>
  <c r="C230" i="27"/>
  <c r="J230" i="27" s="1"/>
  <c r="I230" i="27"/>
  <c r="K230" i="27" s="1"/>
  <c r="CC230" i="27"/>
  <c r="BZ230" i="27"/>
  <c r="B230" i="27"/>
  <c r="AR229" i="27"/>
  <c r="AW229" i="27"/>
  <c r="AZ229" i="27"/>
  <c r="AV229" i="27"/>
  <c r="AX229" i="27"/>
  <c r="AU229" i="27"/>
  <c r="AT229" i="27"/>
  <c r="AQ229" i="27"/>
  <c r="AS229" i="27"/>
  <c r="AY229" i="27"/>
  <c r="CO228" i="27"/>
  <c r="AO228" i="27"/>
  <c r="BV228" i="27"/>
  <c r="L229" i="27"/>
  <c r="E230" i="27" l="1"/>
  <c r="AM230" i="27" s="1"/>
  <c r="BE230" i="27"/>
  <c r="AK230" i="27"/>
  <c r="CL230" i="27"/>
  <c r="BY230" i="27"/>
  <c r="CA230" i="27"/>
  <c r="BB229" i="27"/>
  <c r="AN229" i="27"/>
  <c r="AL230" i="27"/>
  <c r="L230" i="27"/>
  <c r="BV229" i="27"/>
  <c r="AO229" i="27"/>
  <c r="CO229" i="27"/>
  <c r="B231" i="27"/>
  <c r="BC231" i="27"/>
  <c r="BH231" i="27" s="1"/>
  <c r="CB231" i="27"/>
  <c r="CN231" i="27"/>
  <c r="CD231" i="27"/>
  <c r="G231" i="27"/>
  <c r="CF231" i="27"/>
  <c r="BN231" i="27"/>
  <c r="CI231" i="27"/>
  <c r="BZ231" i="27"/>
  <c r="AP231" i="27"/>
  <c r="BD231" i="27"/>
  <c r="CE231" i="27"/>
  <c r="BK231" i="27"/>
  <c r="D232" i="27"/>
  <c r="BQ231" i="27"/>
  <c r="H231" i="27"/>
  <c r="BA231" i="27"/>
  <c r="C231" i="27"/>
  <c r="J231" i="27" s="1"/>
  <c r="CG231" i="27"/>
  <c r="CK231" i="27"/>
  <c r="I231" i="27"/>
  <c r="K231" i="27" s="1"/>
  <c r="CC231" i="27"/>
  <c r="CJ231" i="27"/>
  <c r="CP230" i="27"/>
  <c r="CH230" i="27"/>
  <c r="A230" i="27"/>
  <c r="BJ230" i="27"/>
  <c r="CM230" i="27"/>
  <c r="BI230" i="27"/>
  <c r="CT230" i="27"/>
  <c r="CQ230" i="27"/>
  <c r="CS230" i="27"/>
  <c r="CR230" i="27"/>
  <c r="BL230" i="27"/>
  <c r="BM230" i="27" s="1"/>
  <c r="AX230" i="27"/>
  <c r="AQ230" i="27"/>
  <c r="AW230" i="27"/>
  <c r="AY230" i="27"/>
  <c r="AV230" i="27"/>
  <c r="AU230" i="27"/>
  <c r="AT230" i="27"/>
  <c r="AZ230" i="27"/>
  <c r="AR230" i="27"/>
  <c r="AS230" i="27"/>
  <c r="CA231" i="27" l="1"/>
  <c r="BE231" i="27"/>
  <c r="AK231" i="27"/>
  <c r="BY231" i="27"/>
  <c r="BB230" i="27"/>
  <c r="AN230" i="27"/>
  <c r="E231" i="27"/>
  <c r="AM231" i="27" s="1"/>
  <c r="AL231" i="27"/>
  <c r="CL231" i="27"/>
  <c r="L231" i="27"/>
  <c r="CG232" i="27"/>
  <c r="CJ232" i="27"/>
  <c r="I232" i="27"/>
  <c r="K232" i="27" s="1"/>
  <c r="CB232" i="27"/>
  <c r="G232" i="27"/>
  <c r="B232" i="27"/>
  <c r="BK232" i="27"/>
  <c r="CN232" i="27"/>
  <c r="CD232" i="27"/>
  <c r="BC232" i="27"/>
  <c r="BH232" i="27" s="1"/>
  <c r="BQ232" i="27"/>
  <c r="CF232" i="27"/>
  <c r="BN232" i="27"/>
  <c r="CK232" i="27"/>
  <c r="BA232" i="27"/>
  <c r="D233" i="27"/>
  <c r="AP232" i="27"/>
  <c r="BD232" i="27"/>
  <c r="CI232" i="27"/>
  <c r="C232" i="27"/>
  <c r="J232" i="27" s="1"/>
  <c r="BZ232" i="27"/>
  <c r="CE232" i="27"/>
  <c r="CC232" i="27"/>
  <c r="H232" i="27"/>
  <c r="BV230" i="27"/>
  <c r="CO230" i="27"/>
  <c r="AO230" i="27"/>
  <c r="BI231" i="27"/>
  <c r="BJ231" i="27"/>
  <c r="A231" i="27"/>
  <c r="CR231" i="27"/>
  <c r="CM231" i="27"/>
  <c r="CP231" i="27"/>
  <c r="CT231" i="27"/>
  <c r="CS231" i="27"/>
  <c r="CQ231" i="27"/>
  <c r="CH231" i="27"/>
  <c r="BL231" i="27"/>
  <c r="BM231" i="27" s="1"/>
  <c r="AU231" i="27"/>
  <c r="AS231" i="27"/>
  <c r="AT231" i="27"/>
  <c r="AY231" i="27"/>
  <c r="AR231" i="27"/>
  <c r="AQ231" i="27"/>
  <c r="AZ231" i="27"/>
  <c r="AX231" i="27"/>
  <c r="AV231" i="27"/>
  <c r="AW231" i="27"/>
  <c r="CA232" i="27" l="1"/>
  <c r="BE232" i="27"/>
  <c r="AL232" i="27"/>
  <c r="E232" i="27"/>
  <c r="AM232" i="27" s="1"/>
  <c r="BY232" i="27"/>
  <c r="CL232" i="27"/>
  <c r="BB231" i="27"/>
  <c r="AN231" i="27"/>
  <c r="AK232" i="27"/>
  <c r="CI233" i="27"/>
  <c r="CG233" i="27"/>
  <c r="CD233" i="27"/>
  <c r="I233" i="27"/>
  <c r="K233" i="27" s="1"/>
  <c r="BK233" i="27"/>
  <c r="B233" i="27"/>
  <c r="CK233" i="27"/>
  <c r="CB233" i="27"/>
  <c r="BA233" i="27"/>
  <c r="CN233" i="27"/>
  <c r="CC233" i="27"/>
  <c r="CF233" i="27"/>
  <c r="BC233" i="27"/>
  <c r="BH233" i="27" s="1"/>
  <c r="BN233" i="27"/>
  <c r="D234" i="27"/>
  <c r="AP233" i="27"/>
  <c r="G233" i="27"/>
  <c r="H233" i="27"/>
  <c r="BQ233" i="27"/>
  <c r="BD233" i="27"/>
  <c r="BZ233" i="27"/>
  <c r="CE233" i="27"/>
  <c r="C233" i="27"/>
  <c r="J233" i="27" s="1"/>
  <c r="CJ233" i="27"/>
  <c r="AO231" i="27"/>
  <c r="CO231" i="27"/>
  <c r="BV231" i="27"/>
  <c r="L232" i="27"/>
  <c r="AZ232" i="27"/>
  <c r="AU232" i="27"/>
  <c r="AR232" i="27"/>
  <c r="AS232" i="27"/>
  <c r="AY232" i="27"/>
  <c r="AQ232" i="27"/>
  <c r="AX232" i="27"/>
  <c r="AW232" i="27"/>
  <c r="AV232" i="27"/>
  <c r="AT232" i="27"/>
  <c r="CT232" i="27"/>
  <c r="CR232" i="27"/>
  <c r="CP232" i="27"/>
  <c r="BL232" i="27"/>
  <c r="BM232" i="27" s="1"/>
  <c r="CH232" i="27"/>
  <c r="CS232" i="27"/>
  <c r="BJ232" i="27"/>
  <c r="CQ232" i="27"/>
  <c r="BI232" i="27"/>
  <c r="CM232" i="27"/>
  <c r="A232" i="27"/>
  <c r="CA233" i="27" l="1"/>
  <c r="BE233" i="27"/>
  <c r="E233" i="27"/>
  <c r="AM233" i="27" s="1"/>
  <c r="BY233" i="27"/>
  <c r="BB232" i="27"/>
  <c r="AN232" i="27"/>
  <c r="AK233" i="27"/>
  <c r="AL233" i="27"/>
  <c r="CL233" i="27"/>
  <c r="L233" i="27"/>
  <c r="BD234" i="27"/>
  <c r="G234" i="27"/>
  <c r="BK234" i="27"/>
  <c r="B234" i="27"/>
  <c r="BA234" i="27"/>
  <c r="CN234" i="27"/>
  <c r="H234" i="27"/>
  <c r="BC234" i="27"/>
  <c r="BH234" i="27" s="1"/>
  <c r="CJ234" i="27"/>
  <c r="CF234" i="27"/>
  <c r="CK234" i="27"/>
  <c r="CB234" i="27"/>
  <c r="D235" i="27"/>
  <c r="AP234" i="27"/>
  <c r="CE234" i="27"/>
  <c r="BZ234" i="27"/>
  <c r="CC234" i="27"/>
  <c r="CI234" i="27"/>
  <c r="CG234" i="27"/>
  <c r="BN234" i="27"/>
  <c r="I234" i="27"/>
  <c r="K234" i="27" s="1"/>
  <c r="C234" i="27"/>
  <c r="J234" i="27" s="1"/>
  <c r="CD234" i="27"/>
  <c r="BQ234" i="27"/>
  <c r="AX233" i="27"/>
  <c r="AW233" i="27"/>
  <c r="AU233" i="27"/>
  <c r="AS233" i="27"/>
  <c r="AV233" i="27"/>
  <c r="AZ233" i="27"/>
  <c r="AT233" i="27"/>
  <c r="AR233" i="27"/>
  <c r="AY233" i="27"/>
  <c r="AQ233" i="27"/>
  <c r="BJ233" i="27"/>
  <c r="BI233" i="27"/>
  <c r="A233" i="27"/>
  <c r="CM233" i="27"/>
  <c r="CS233" i="27"/>
  <c r="CQ233" i="27"/>
  <c r="BL233" i="27"/>
  <c r="BM233" i="27" s="1"/>
  <c r="CH233" i="27"/>
  <c r="CR233" i="27"/>
  <c r="CP233" i="27"/>
  <c r="CT233" i="27"/>
  <c r="CO232" i="27"/>
  <c r="BV232" i="27"/>
  <c r="AO232" i="27"/>
  <c r="E234" i="27" l="1"/>
  <c r="AM234" i="27" s="1"/>
  <c r="BE234" i="27"/>
  <c r="BY234" i="27"/>
  <c r="CA234" i="27"/>
  <c r="BB233" i="27"/>
  <c r="AN233" i="27"/>
  <c r="CL234" i="27"/>
  <c r="AK234" i="27"/>
  <c r="AL234" i="27"/>
  <c r="L234" i="27"/>
  <c r="CP234" i="27"/>
  <c r="CH234" i="27"/>
  <c r="BJ234" i="27"/>
  <c r="CQ234" i="27"/>
  <c r="BI234" i="27"/>
  <c r="CS234" i="27"/>
  <c r="A234" i="27"/>
  <c r="CR234" i="27"/>
  <c r="CT234" i="27"/>
  <c r="BL234" i="27"/>
  <c r="BM234" i="27" s="1"/>
  <c r="CM234" i="27"/>
  <c r="CO233" i="27"/>
  <c r="BV233" i="27"/>
  <c r="AO233" i="27"/>
  <c r="CK235" i="27"/>
  <c r="CI235" i="27"/>
  <c r="CG235" i="27"/>
  <c r="CC235" i="27"/>
  <c r="CF235" i="27"/>
  <c r="BC235" i="27"/>
  <c r="BH235" i="27" s="1"/>
  <c r="BK235" i="27"/>
  <c r="B235" i="27"/>
  <c r="AP235" i="27"/>
  <c r="BD235" i="27"/>
  <c r="G235" i="27"/>
  <c r="BA235" i="27"/>
  <c r="CE235" i="27"/>
  <c r="CD235" i="27"/>
  <c r="CN235" i="27"/>
  <c r="CJ235" i="27"/>
  <c r="BQ235" i="27"/>
  <c r="CB235" i="27"/>
  <c r="D236" i="27"/>
  <c r="BN235" i="27"/>
  <c r="C235" i="27"/>
  <c r="J235" i="27" s="1"/>
  <c r="BZ235" i="27"/>
  <c r="I235" i="27"/>
  <c r="K235" i="27" s="1"/>
  <c r="H235" i="27"/>
  <c r="AQ234" i="27"/>
  <c r="AX234" i="27"/>
  <c r="AV234" i="27"/>
  <c r="AT234" i="27"/>
  <c r="AW234" i="27"/>
  <c r="AY234" i="27"/>
  <c r="AS234" i="27"/>
  <c r="AU234" i="27"/>
  <c r="AZ234" i="27"/>
  <c r="AR234" i="27"/>
  <c r="CL235" i="27" l="1"/>
  <c r="BE235" i="27"/>
  <c r="AL235" i="27"/>
  <c r="AK235" i="27"/>
  <c r="BB234" i="27"/>
  <c r="AN234" i="27"/>
  <c r="E235" i="27"/>
  <c r="AM235" i="27" s="1"/>
  <c r="BY235" i="27"/>
  <c r="CA235" i="27"/>
  <c r="L235" i="27"/>
  <c r="AR235" i="27"/>
  <c r="AY235" i="27"/>
  <c r="AQ235" i="27"/>
  <c r="AW235" i="27"/>
  <c r="AU235" i="27"/>
  <c r="AX235" i="27"/>
  <c r="AT235" i="27"/>
  <c r="AV235" i="27"/>
  <c r="AS235" i="27"/>
  <c r="AZ235" i="27"/>
  <c r="CO234" i="27"/>
  <c r="BV234" i="27"/>
  <c r="AO234" i="27"/>
  <c r="CC236" i="27"/>
  <c r="CF236" i="27"/>
  <c r="BC236" i="27"/>
  <c r="BH236" i="27" s="1"/>
  <c r="BK236" i="27"/>
  <c r="AP236" i="27"/>
  <c r="CD236" i="27"/>
  <c r="G236" i="27"/>
  <c r="BA236" i="27"/>
  <c r="CG236" i="27"/>
  <c r="BN236" i="27"/>
  <c r="CJ236" i="27"/>
  <c r="CE236" i="27"/>
  <c r="BD236" i="27"/>
  <c r="CB236" i="27"/>
  <c r="D237" i="27"/>
  <c r="BZ236" i="27"/>
  <c r="BQ236" i="27"/>
  <c r="H236" i="27"/>
  <c r="C236" i="27"/>
  <c r="J236" i="27" s="1"/>
  <c r="I236" i="27"/>
  <c r="K236" i="27" s="1"/>
  <c r="CK236" i="27"/>
  <c r="CI236" i="27"/>
  <c r="CN236" i="27"/>
  <c r="B236" i="27"/>
  <c r="BL235" i="27"/>
  <c r="BM235" i="27" s="1"/>
  <c r="CT235" i="27"/>
  <c r="CQ235" i="27"/>
  <c r="CP235" i="27"/>
  <c r="CH235" i="27"/>
  <c r="BJ235" i="27"/>
  <c r="BI235" i="27"/>
  <c r="CS235" i="27"/>
  <c r="CM235" i="27"/>
  <c r="CR235" i="27"/>
  <c r="A235" i="27"/>
  <c r="CA236" i="27" l="1"/>
  <c r="BE236" i="27"/>
  <c r="AL236" i="27"/>
  <c r="BB235" i="27"/>
  <c r="AN235" i="27"/>
  <c r="CL236" i="27"/>
  <c r="BY236" i="27"/>
  <c r="E236" i="27"/>
  <c r="AM236" i="27" s="1"/>
  <c r="AK236" i="27"/>
  <c r="AT236" i="27"/>
  <c r="AS236" i="27"/>
  <c r="AU236" i="27"/>
  <c r="AZ236" i="27"/>
  <c r="AR236" i="27"/>
  <c r="AX236" i="27"/>
  <c r="AY236" i="27"/>
  <c r="AQ236" i="27"/>
  <c r="AV236" i="27"/>
  <c r="AW236" i="27"/>
  <c r="CT236" i="27"/>
  <c r="A236" i="27"/>
  <c r="CS236" i="27"/>
  <c r="CM236" i="27"/>
  <c r="CR236" i="27"/>
  <c r="BI236" i="27"/>
  <c r="BL236" i="27"/>
  <c r="BM236" i="27" s="1"/>
  <c r="CQ236" i="27"/>
  <c r="CP236" i="27"/>
  <c r="BJ236" i="27"/>
  <c r="CH236" i="27"/>
  <c r="CO235" i="27"/>
  <c r="AO235" i="27"/>
  <c r="BV235" i="27"/>
  <c r="CK237" i="27"/>
  <c r="CI237" i="27"/>
  <c r="CN237" i="27"/>
  <c r="I237" i="27"/>
  <c r="K237" i="27" s="1"/>
  <c r="CC237" i="27"/>
  <c r="CF237" i="27"/>
  <c r="BQ237" i="27"/>
  <c r="BC237" i="27"/>
  <c r="BH237" i="27" s="1"/>
  <c r="BK237" i="27"/>
  <c r="AP237" i="27"/>
  <c r="CD237" i="27"/>
  <c r="G237" i="27"/>
  <c r="BA237" i="27"/>
  <c r="BZ237" i="27"/>
  <c r="BN237" i="27"/>
  <c r="CJ237" i="27"/>
  <c r="D238" i="27"/>
  <c r="BD237" i="27"/>
  <c r="CB237" i="27"/>
  <c r="CG237" i="27"/>
  <c r="C237" i="27"/>
  <c r="J237" i="27" s="1"/>
  <c r="H237" i="27"/>
  <c r="B237" i="27"/>
  <c r="CE237" i="27"/>
  <c r="L236" i="27"/>
  <c r="CA237" i="27" l="1"/>
  <c r="BE237" i="27"/>
  <c r="E237" i="27"/>
  <c r="AM237" i="27" s="1"/>
  <c r="CL237" i="27"/>
  <c r="BY237" i="27"/>
  <c r="BB236" i="27"/>
  <c r="AN236" i="27"/>
  <c r="AL237" i="27"/>
  <c r="AK237" i="27"/>
  <c r="CN238" i="27"/>
  <c r="D239" i="27"/>
  <c r="CD238" i="27"/>
  <c r="CF238" i="27"/>
  <c r="BZ238" i="27"/>
  <c r="H238" i="27"/>
  <c r="C238" i="27"/>
  <c r="J238" i="27" s="1"/>
  <c r="CE238" i="27"/>
  <c r="AP238" i="27"/>
  <c r="BA238" i="27"/>
  <c r="BQ238" i="27"/>
  <c r="BC238" i="27"/>
  <c r="BH238" i="27" s="1"/>
  <c r="CG238" i="27"/>
  <c r="CK238" i="27"/>
  <c r="G238" i="27"/>
  <c r="CC238" i="27"/>
  <c r="I238" i="27"/>
  <c r="K238" i="27" s="1"/>
  <c r="CI238" i="27"/>
  <c r="CJ238" i="27"/>
  <c r="BN238" i="27"/>
  <c r="BK238" i="27"/>
  <c r="CB238" i="27"/>
  <c r="BD238" i="27"/>
  <c r="B238" i="27"/>
  <c r="BE238" i="27" s="1"/>
  <c r="L237" i="27"/>
  <c r="CM237" i="27"/>
  <c r="CH237" i="27"/>
  <c r="CT237" i="27"/>
  <c r="BJ237" i="27"/>
  <c r="CS237" i="27"/>
  <c r="A237" i="27"/>
  <c r="CR237" i="27"/>
  <c r="BL237" i="27"/>
  <c r="BM237" i="27" s="1"/>
  <c r="CQ237" i="27"/>
  <c r="BI237" i="27"/>
  <c r="CP237" i="27"/>
  <c r="BV236" i="27"/>
  <c r="CO236" i="27"/>
  <c r="AO236" i="27"/>
  <c r="AY237" i="27"/>
  <c r="AQ237" i="27"/>
  <c r="AZ237" i="27"/>
  <c r="AW237" i="27"/>
  <c r="AX237" i="27"/>
  <c r="AV237" i="27"/>
  <c r="AR237" i="27"/>
  <c r="AU237" i="27"/>
  <c r="AT237" i="27"/>
  <c r="AS237" i="27"/>
  <c r="AK238" i="27" l="1"/>
  <c r="AL238" i="27"/>
  <c r="CL238" i="27"/>
  <c r="BY238" i="27"/>
  <c r="CA238" i="27"/>
  <c r="BB237" i="27"/>
  <c r="AN237" i="27"/>
  <c r="E238" i="27"/>
  <c r="AM238" i="27" s="1"/>
  <c r="L238" i="27"/>
  <c r="CM238" i="27"/>
  <c r="BL238" i="27"/>
  <c r="BM238" i="27" s="1"/>
  <c r="CS238" i="27"/>
  <c r="BJ238" i="27"/>
  <c r="CR238" i="27"/>
  <c r="BI238" i="27"/>
  <c r="CP238" i="27"/>
  <c r="CH238" i="27"/>
  <c r="CT238" i="27"/>
  <c r="A238" i="27"/>
  <c r="CQ238" i="27"/>
  <c r="AO237" i="27"/>
  <c r="CO237" i="27"/>
  <c r="BV237" i="27"/>
  <c r="AV238" i="27"/>
  <c r="AU238" i="27"/>
  <c r="AW238" i="27"/>
  <c r="AT238" i="27"/>
  <c r="AZ238" i="27"/>
  <c r="AR238" i="27"/>
  <c r="AQ238" i="27"/>
  <c r="AY238" i="27"/>
  <c r="AX238" i="27"/>
  <c r="AS238" i="27"/>
  <c r="AP239" i="27"/>
  <c r="BD239" i="27"/>
  <c r="BZ239" i="27"/>
  <c r="CE239" i="27"/>
  <c r="BK239" i="27"/>
  <c r="C239" i="27"/>
  <c r="J239" i="27" s="1"/>
  <c r="BQ239" i="27"/>
  <c r="H239" i="27"/>
  <c r="BA239" i="27"/>
  <c r="D240" i="27"/>
  <c r="CG239" i="27"/>
  <c r="CK239" i="27"/>
  <c r="I239" i="27"/>
  <c r="K239" i="27" s="1"/>
  <c r="CC239" i="27"/>
  <c r="CJ239" i="27"/>
  <c r="B239" i="27"/>
  <c r="BC239" i="27"/>
  <c r="BH239" i="27" s="1"/>
  <c r="CB239" i="27"/>
  <c r="CN239" i="27"/>
  <c r="CD239" i="27"/>
  <c r="G239" i="27"/>
  <c r="CF239" i="27"/>
  <c r="BN239" i="27"/>
  <c r="CI239" i="27"/>
  <c r="CL239" i="27" l="1"/>
  <c r="BE239" i="27"/>
  <c r="AK239" i="27"/>
  <c r="AL239" i="27"/>
  <c r="CA239" i="27"/>
  <c r="BY239" i="27"/>
  <c r="E239" i="27"/>
  <c r="AM239" i="27" s="1"/>
  <c r="BB238" i="27"/>
  <c r="AN238" i="27"/>
  <c r="L239" i="27"/>
  <c r="CM239" i="27"/>
  <c r="BJ239" i="27"/>
  <c r="CT239" i="27"/>
  <c r="CS239" i="27"/>
  <c r="A239" i="27"/>
  <c r="CQ239" i="27"/>
  <c r="CR239" i="27"/>
  <c r="CP239" i="27"/>
  <c r="BL239" i="27"/>
  <c r="BM239" i="27" s="1"/>
  <c r="BI239" i="27"/>
  <c r="CH239" i="27"/>
  <c r="I240" i="27"/>
  <c r="K240" i="27" s="1"/>
  <c r="CB240" i="27"/>
  <c r="G240" i="27"/>
  <c r="B240" i="27"/>
  <c r="CN240" i="27"/>
  <c r="CD240" i="27"/>
  <c r="BK240" i="27"/>
  <c r="CG240" i="27"/>
  <c r="CF240" i="27"/>
  <c r="BN240" i="27"/>
  <c r="BC240" i="27"/>
  <c r="BH240" i="27" s="1"/>
  <c r="D241" i="27"/>
  <c r="AP240" i="27"/>
  <c r="BD240" i="27"/>
  <c r="BA240" i="27"/>
  <c r="BZ240" i="27"/>
  <c r="CE240" i="27"/>
  <c r="CK240" i="27"/>
  <c r="CJ240" i="27"/>
  <c r="CC240" i="27"/>
  <c r="C240" i="27"/>
  <c r="J240" i="27" s="1"/>
  <c r="BQ240" i="27"/>
  <c r="H240" i="27"/>
  <c r="CI240" i="27"/>
  <c r="AV239" i="27"/>
  <c r="AU239" i="27"/>
  <c r="AS239" i="27"/>
  <c r="AZ239" i="27"/>
  <c r="AY239" i="27"/>
  <c r="AT239" i="27"/>
  <c r="AW239" i="27"/>
  <c r="AQ239" i="27"/>
  <c r="AR239" i="27"/>
  <c r="AX239" i="27"/>
  <c r="BV238" i="27"/>
  <c r="AO238" i="27"/>
  <c r="CO238" i="27"/>
  <c r="CA240" i="27" l="1"/>
  <c r="BE240" i="27"/>
  <c r="AL240" i="27"/>
  <c r="CL240" i="27"/>
  <c r="AK240" i="27"/>
  <c r="BY240" i="27"/>
  <c r="E240" i="27"/>
  <c r="AM240" i="27" s="1"/>
  <c r="BB239" i="27"/>
  <c r="AN239" i="27"/>
  <c r="BI240" i="27"/>
  <c r="A240" i="27"/>
  <c r="CM240" i="27"/>
  <c r="CT240" i="27"/>
  <c r="CR240" i="27"/>
  <c r="BJ240" i="27"/>
  <c r="CP240" i="27"/>
  <c r="BL240" i="27"/>
  <c r="BM240" i="27" s="1"/>
  <c r="CH240" i="27"/>
  <c r="CS240" i="27"/>
  <c r="CQ240" i="27"/>
  <c r="BA241" i="27"/>
  <c r="CN241" i="27"/>
  <c r="CC241" i="27"/>
  <c r="BN241" i="27"/>
  <c r="CF241" i="27"/>
  <c r="BC241" i="27"/>
  <c r="BH241" i="27" s="1"/>
  <c r="H241" i="27"/>
  <c r="D242" i="27"/>
  <c r="AP241" i="27"/>
  <c r="G241" i="27"/>
  <c r="CB241" i="27"/>
  <c r="BZ241" i="27"/>
  <c r="CE241" i="27"/>
  <c r="BD241" i="27"/>
  <c r="C241" i="27"/>
  <c r="J241" i="27" s="1"/>
  <c r="BQ241" i="27"/>
  <c r="B241" i="27"/>
  <c r="CK241" i="27"/>
  <c r="CI241" i="27"/>
  <c r="CG241" i="27"/>
  <c r="CJ241" i="27"/>
  <c r="I241" i="27"/>
  <c r="K241" i="27" s="1"/>
  <c r="CD241" i="27"/>
  <c r="BK241" i="27"/>
  <c r="L240" i="27"/>
  <c r="CO239" i="27"/>
  <c r="BV239" i="27"/>
  <c r="AO239" i="27"/>
  <c r="AW240" i="27"/>
  <c r="AV240" i="27"/>
  <c r="AT240" i="27"/>
  <c r="AZ240" i="27"/>
  <c r="AU240" i="27"/>
  <c r="AR240" i="27"/>
  <c r="AS240" i="27"/>
  <c r="AX240" i="27"/>
  <c r="AY240" i="27"/>
  <c r="AQ240" i="27"/>
  <c r="AK241" i="27" l="1"/>
  <c r="CA241" i="27"/>
  <c r="BE241" i="27"/>
  <c r="BY241" i="27"/>
  <c r="AL241" i="27"/>
  <c r="E241" i="27"/>
  <c r="AM241" i="27" s="1"/>
  <c r="CL241" i="27"/>
  <c r="BB240" i="27"/>
  <c r="AN240" i="27"/>
  <c r="L241" i="27"/>
  <c r="BI241" i="27"/>
  <c r="A241" i="27"/>
  <c r="CM241" i="27"/>
  <c r="CS241" i="27"/>
  <c r="CQ241" i="27"/>
  <c r="CT241" i="27"/>
  <c r="CP241" i="27"/>
  <c r="CR241" i="27"/>
  <c r="CH241" i="27"/>
  <c r="BL241" i="27"/>
  <c r="BM241" i="27" s="1"/>
  <c r="BJ241" i="27"/>
  <c r="CB242" i="27"/>
  <c r="D243" i="27"/>
  <c r="AP242" i="27"/>
  <c r="BC242" i="27"/>
  <c r="BH242" i="27" s="1"/>
  <c r="BZ242" i="27"/>
  <c r="CK242" i="27"/>
  <c r="C242" i="27"/>
  <c r="J242" i="27" s="1"/>
  <c r="CD242" i="27"/>
  <c r="CE242" i="27"/>
  <c r="CI242" i="27"/>
  <c r="CG242" i="27"/>
  <c r="BN242" i="27"/>
  <c r="BQ242" i="27"/>
  <c r="BD242" i="27"/>
  <c r="I242" i="27"/>
  <c r="K242" i="27" s="1"/>
  <c r="BK242" i="27"/>
  <c r="B242" i="27"/>
  <c r="CC242" i="27"/>
  <c r="BA242" i="27"/>
  <c r="CN242" i="27"/>
  <c r="H242" i="27"/>
  <c r="G242" i="27"/>
  <c r="CJ242" i="27"/>
  <c r="CF242" i="27"/>
  <c r="AZ241" i="27"/>
  <c r="AT241" i="27"/>
  <c r="AR241" i="27"/>
  <c r="AY241" i="27"/>
  <c r="AQ241" i="27"/>
  <c r="AX241" i="27"/>
  <c r="AW241" i="27"/>
  <c r="AU241" i="27"/>
  <c r="AS241" i="27"/>
  <c r="AV241" i="27"/>
  <c r="CO240" i="27"/>
  <c r="BV240" i="27"/>
  <c r="AO240" i="27"/>
  <c r="E242" i="27" l="1"/>
  <c r="AM242" i="27" s="1"/>
  <c r="BE242" i="27"/>
  <c r="BY242" i="27"/>
  <c r="AK242" i="27"/>
  <c r="CL242" i="27"/>
  <c r="BB241" i="27"/>
  <c r="AN241" i="27"/>
  <c r="AL242" i="27"/>
  <c r="CA242" i="27"/>
  <c r="L242" i="27"/>
  <c r="C243" i="27"/>
  <c r="J243" i="27" s="1"/>
  <c r="BD243" i="27"/>
  <c r="H243" i="27"/>
  <c r="CK243" i="27"/>
  <c r="CI243" i="27"/>
  <c r="CG243" i="27"/>
  <c r="CN243" i="27"/>
  <c r="BZ243" i="27"/>
  <c r="CC243" i="27"/>
  <c r="BC243" i="27"/>
  <c r="BH243" i="27" s="1"/>
  <c r="BK243" i="27"/>
  <c r="B243" i="27"/>
  <c r="CF243" i="27"/>
  <c r="I243" i="27"/>
  <c r="K243" i="27" s="1"/>
  <c r="G243" i="27"/>
  <c r="BA243" i="27"/>
  <c r="CE243" i="27"/>
  <c r="AP243" i="27"/>
  <c r="CJ243" i="27"/>
  <c r="AK243" i="27"/>
  <c r="BQ243" i="27"/>
  <c r="CD243" i="27"/>
  <c r="CB243" i="27"/>
  <c r="D244" i="27"/>
  <c r="BN243" i="27"/>
  <c r="AQ242" i="27"/>
  <c r="AX242" i="27"/>
  <c r="AV242" i="27"/>
  <c r="AT242" i="27"/>
  <c r="AW242" i="27"/>
  <c r="AS242" i="27"/>
  <c r="AU242" i="27"/>
  <c r="AY242" i="27"/>
  <c r="AZ242" i="27"/>
  <c r="AR242" i="27"/>
  <c r="AO241" i="27"/>
  <c r="BV241" i="27"/>
  <c r="CO241" i="27"/>
  <c r="CR242" i="27"/>
  <c r="CT242" i="27"/>
  <c r="BL242" i="27"/>
  <c r="BM242" i="27" s="1"/>
  <c r="CS242" i="27"/>
  <c r="A242" i="27"/>
  <c r="CQ242" i="27"/>
  <c r="CM242" i="27"/>
  <c r="CP242" i="27"/>
  <c r="CH242" i="27"/>
  <c r="BJ242" i="27"/>
  <c r="BI242" i="27"/>
  <c r="CA243" i="27" l="1"/>
  <c r="BE243" i="27"/>
  <c r="BY243" i="27"/>
  <c r="BB242" i="27"/>
  <c r="AN242" i="27"/>
  <c r="E243" i="27"/>
  <c r="AM243" i="27" s="1"/>
  <c r="AL243" i="27"/>
  <c r="CL243" i="27"/>
  <c r="L243" i="27"/>
  <c r="BZ244" i="27"/>
  <c r="H244" i="27"/>
  <c r="C244" i="27"/>
  <c r="J244" i="27" s="1"/>
  <c r="CE244" i="27"/>
  <c r="CK244" i="27"/>
  <c r="CI244" i="27"/>
  <c r="CN244" i="27"/>
  <c r="BQ244" i="27"/>
  <c r="CC244" i="27"/>
  <c r="CF244" i="27"/>
  <c r="I244" i="27"/>
  <c r="K244" i="27" s="1"/>
  <c r="BC244" i="27"/>
  <c r="BH244" i="27" s="1"/>
  <c r="BK244" i="27"/>
  <c r="AP244" i="27"/>
  <c r="CD244" i="27"/>
  <c r="G244" i="27"/>
  <c r="BA244" i="27"/>
  <c r="B244" i="27"/>
  <c r="BE244" i="27" s="1"/>
  <c r="BN244" i="27"/>
  <c r="CJ244" i="27"/>
  <c r="BD244" i="27"/>
  <c r="CB244" i="27"/>
  <c r="D245" i="27"/>
  <c r="CG244" i="27"/>
  <c r="AR243" i="27"/>
  <c r="AY243" i="27"/>
  <c r="AQ243" i="27"/>
  <c r="AW243" i="27"/>
  <c r="AU243" i="27"/>
  <c r="AX243" i="27"/>
  <c r="AT243" i="27"/>
  <c r="AV243" i="27"/>
  <c r="AS243" i="27"/>
  <c r="AZ243" i="27"/>
  <c r="BL243" i="27"/>
  <c r="BM243" i="27" s="1"/>
  <c r="CT243" i="27"/>
  <c r="CQ243" i="27"/>
  <c r="CP243" i="27"/>
  <c r="CH243" i="27"/>
  <c r="BJ243" i="27"/>
  <c r="BI243" i="27"/>
  <c r="CS243" i="27"/>
  <c r="CM243" i="27"/>
  <c r="CR243" i="27"/>
  <c r="A243" i="27"/>
  <c r="CO242" i="27"/>
  <c r="BV242" i="27"/>
  <c r="AO242" i="27"/>
  <c r="E244" i="27" l="1"/>
  <c r="AM244" i="27" s="1"/>
  <c r="AK244" i="27"/>
  <c r="AL244" i="27"/>
  <c r="BB243" i="27"/>
  <c r="AN243" i="27"/>
  <c r="CL244" i="27"/>
  <c r="CA244" i="27"/>
  <c r="BY244" i="27"/>
  <c r="L244" i="27"/>
  <c r="CE245" i="27"/>
  <c r="BQ245" i="27"/>
  <c r="H245" i="27"/>
  <c r="B245" i="27"/>
  <c r="CK245" i="27"/>
  <c r="CI245" i="27"/>
  <c r="D246" i="27"/>
  <c r="I245" i="27"/>
  <c r="K245" i="27" s="1"/>
  <c r="CC245" i="27"/>
  <c r="C245" i="27"/>
  <c r="J245" i="27" s="1"/>
  <c r="BC245" i="27"/>
  <c r="BH245" i="27" s="1"/>
  <c r="BK245" i="27"/>
  <c r="CN245" i="27"/>
  <c r="CD245" i="27"/>
  <c r="G245" i="27"/>
  <c r="BA245" i="27"/>
  <c r="BZ245" i="27"/>
  <c r="BN245" i="27"/>
  <c r="CJ245" i="27"/>
  <c r="CF245" i="27"/>
  <c r="BD245" i="27"/>
  <c r="CB245" i="27"/>
  <c r="CG245" i="27"/>
  <c r="AP245" i="27"/>
  <c r="CP244" i="27"/>
  <c r="CH244" i="27"/>
  <c r="BJ244" i="27"/>
  <c r="CT244" i="27"/>
  <c r="A244" i="27"/>
  <c r="CS244" i="27"/>
  <c r="BI244" i="27"/>
  <c r="CR244" i="27"/>
  <c r="CM244" i="27"/>
  <c r="BL244" i="27"/>
  <c r="BM244" i="27" s="1"/>
  <c r="CQ244" i="27"/>
  <c r="AT244" i="27"/>
  <c r="AS244" i="27"/>
  <c r="AZ244" i="27"/>
  <c r="AR244" i="27"/>
  <c r="AX244" i="27"/>
  <c r="AY244" i="27"/>
  <c r="AV244" i="27"/>
  <c r="AW244" i="27"/>
  <c r="AU244" i="27"/>
  <c r="AQ244" i="27"/>
  <c r="CO243" i="27"/>
  <c r="AO243" i="27"/>
  <c r="BV243" i="27"/>
  <c r="CL245" i="27" l="1"/>
  <c r="BE245" i="27"/>
  <c r="AK245" i="27"/>
  <c r="AL245" i="27"/>
  <c r="CA245" i="27"/>
  <c r="E245" i="27"/>
  <c r="AM245" i="27" s="1"/>
  <c r="BB244" i="27"/>
  <c r="AN244" i="27"/>
  <c r="BY245" i="27"/>
  <c r="L245" i="27"/>
  <c r="AS245" i="27"/>
  <c r="AY245" i="27"/>
  <c r="AQ245" i="27"/>
  <c r="AZ245" i="27"/>
  <c r="AW245" i="27"/>
  <c r="AX245" i="27"/>
  <c r="AV245" i="27"/>
  <c r="AR245" i="27"/>
  <c r="AU245" i="27"/>
  <c r="AT245" i="27"/>
  <c r="BV244" i="27"/>
  <c r="CO244" i="27"/>
  <c r="AO244" i="27"/>
  <c r="AP246" i="27"/>
  <c r="BD246" i="27"/>
  <c r="CB246" i="27"/>
  <c r="BA246" i="27"/>
  <c r="CE246" i="27"/>
  <c r="CI246" i="27"/>
  <c r="BQ246" i="27"/>
  <c r="H246" i="27"/>
  <c r="CK246" i="27"/>
  <c r="D247" i="27"/>
  <c r="I246" i="27"/>
  <c r="K246" i="27" s="1"/>
  <c r="CC246" i="27"/>
  <c r="BZ246" i="27"/>
  <c r="CG246" i="27"/>
  <c r="BC246" i="27"/>
  <c r="BH246" i="27" s="1"/>
  <c r="C246" i="27"/>
  <c r="J246" i="27" s="1"/>
  <c r="CN246" i="27"/>
  <c r="CD246" i="27"/>
  <c r="G246" i="27"/>
  <c r="BK246" i="27"/>
  <c r="CF246" i="27"/>
  <c r="BN246" i="27"/>
  <c r="CJ246" i="27"/>
  <c r="B246" i="27"/>
  <c r="CS245" i="27"/>
  <c r="CH245" i="27"/>
  <c r="CR245" i="27"/>
  <c r="BL245" i="27"/>
  <c r="BM245" i="27" s="1"/>
  <c r="CQ245" i="27"/>
  <c r="BI245" i="27"/>
  <c r="BJ245" i="27"/>
  <c r="CM245" i="27"/>
  <c r="A245" i="27"/>
  <c r="CT245" i="27"/>
  <c r="CP245" i="27"/>
  <c r="E246" i="27" l="1"/>
  <c r="AM246" i="27" s="1"/>
  <c r="BE246" i="27"/>
  <c r="BY246" i="27"/>
  <c r="AK246" i="27"/>
  <c r="CL246" i="27"/>
  <c r="CA246" i="27"/>
  <c r="AL246" i="27"/>
  <c r="BB245" i="27"/>
  <c r="AN245" i="27"/>
  <c r="L246" i="27"/>
  <c r="A246" i="27"/>
  <c r="BJ246" i="27"/>
  <c r="CM246" i="27"/>
  <c r="BI246" i="27"/>
  <c r="CT246" i="27"/>
  <c r="CQ246" i="27"/>
  <c r="CS246" i="27"/>
  <c r="CR246" i="27"/>
  <c r="BL246" i="27"/>
  <c r="BM246" i="27" s="1"/>
  <c r="CP246" i="27"/>
  <c r="CH246" i="27"/>
  <c r="AO245" i="27"/>
  <c r="BV245" i="27"/>
  <c r="CO245" i="27"/>
  <c r="B247" i="27"/>
  <c r="BC247" i="27"/>
  <c r="BH247" i="27" s="1"/>
  <c r="D248" i="27"/>
  <c r="CN247" i="27"/>
  <c r="CD247" i="27"/>
  <c r="G247" i="27"/>
  <c r="C247" i="27"/>
  <c r="J247" i="27" s="1"/>
  <c r="CF247" i="27"/>
  <c r="BN247" i="27"/>
  <c r="CI247" i="27"/>
  <c r="CJ247" i="27"/>
  <c r="H247" i="27"/>
  <c r="AP247" i="27"/>
  <c r="BD247" i="27"/>
  <c r="CB247" i="27"/>
  <c r="CE247" i="27"/>
  <c r="BK247" i="27"/>
  <c r="BQ247" i="27"/>
  <c r="BA247" i="27"/>
  <c r="BZ247" i="27"/>
  <c r="CG247" i="27"/>
  <c r="CK247" i="27"/>
  <c r="I247" i="27"/>
  <c r="K247" i="27" s="1"/>
  <c r="CC247" i="27"/>
  <c r="AV246" i="27"/>
  <c r="AU246" i="27"/>
  <c r="AT246" i="27"/>
  <c r="AZ246" i="27"/>
  <c r="AR246" i="27"/>
  <c r="AY246" i="27"/>
  <c r="AX246" i="27"/>
  <c r="AS246" i="27"/>
  <c r="AW246" i="27"/>
  <c r="AQ246" i="27"/>
  <c r="E247" i="27" l="1"/>
  <c r="AM247" i="27" s="1"/>
  <c r="BE247" i="27"/>
  <c r="AK247" i="27"/>
  <c r="BB246" i="27"/>
  <c r="AN246" i="27"/>
  <c r="CL247" i="27"/>
  <c r="CA247" i="27"/>
  <c r="BY247" i="27"/>
  <c r="AL247" i="27"/>
  <c r="L247" i="27"/>
  <c r="AU247" i="27"/>
  <c r="AQ247" i="27"/>
  <c r="AW247" i="27"/>
  <c r="AS247" i="27"/>
  <c r="AZ247" i="27"/>
  <c r="AY247" i="27"/>
  <c r="AT247" i="27"/>
  <c r="AR247" i="27"/>
  <c r="AX247" i="27"/>
  <c r="AV247" i="27"/>
  <c r="BI247" i="27"/>
  <c r="CR247" i="27"/>
  <c r="CS247" i="27"/>
  <c r="BL247" i="27"/>
  <c r="BM247" i="27" s="1"/>
  <c r="A247" i="27"/>
  <c r="CP247" i="27"/>
  <c r="CQ247" i="27"/>
  <c r="CM247" i="27"/>
  <c r="CH247" i="27"/>
  <c r="CT247" i="27"/>
  <c r="BJ247" i="27"/>
  <c r="CG248" i="27"/>
  <c r="CJ248" i="27"/>
  <c r="CK248" i="27"/>
  <c r="CF248" i="27"/>
  <c r="G248" i="27"/>
  <c r="D249" i="27"/>
  <c r="CE248" i="27"/>
  <c r="BC248" i="27"/>
  <c r="BH248" i="27" s="1"/>
  <c r="I248" i="27"/>
  <c r="K248" i="27" s="1"/>
  <c r="CB248" i="27"/>
  <c r="CC248" i="27"/>
  <c r="AP248" i="27"/>
  <c r="BK248" i="27"/>
  <c r="B248" i="27"/>
  <c r="CI248" i="27"/>
  <c r="BN248" i="27"/>
  <c r="BZ248" i="27"/>
  <c r="CN248" i="27"/>
  <c r="CD248" i="27"/>
  <c r="BD248" i="27"/>
  <c r="C248" i="27"/>
  <c r="J248" i="27" s="1"/>
  <c r="BQ248" i="27"/>
  <c r="H248" i="27"/>
  <c r="BA248" i="27"/>
  <c r="CO246" i="27"/>
  <c r="AO246" i="27"/>
  <c r="BV246" i="27"/>
  <c r="CL248" i="27" l="1"/>
  <c r="BE248" i="27"/>
  <c r="CA248" i="27"/>
  <c r="AL248" i="27"/>
  <c r="BY248" i="27"/>
  <c r="AK248" i="27"/>
  <c r="E248" i="27"/>
  <c r="AM248" i="27" s="1"/>
  <c r="BB247" i="27"/>
  <c r="AN247" i="27"/>
  <c r="L248" i="27"/>
  <c r="CO247" i="27"/>
  <c r="BV247" i="27"/>
  <c r="AO247" i="27"/>
  <c r="CP248" i="27"/>
  <c r="BL248" i="27"/>
  <c r="BM248" i="27" s="1"/>
  <c r="BJ248" i="27"/>
  <c r="CH248" i="27"/>
  <c r="CS248" i="27"/>
  <c r="BI248" i="27"/>
  <c r="A248" i="27"/>
  <c r="CR248" i="27"/>
  <c r="CM248" i="27"/>
  <c r="CT248" i="27"/>
  <c r="CQ248" i="27"/>
  <c r="BK249" i="27"/>
  <c r="B249" i="27"/>
  <c r="CK249" i="27"/>
  <c r="BA249" i="27"/>
  <c r="CN249" i="27"/>
  <c r="CC249" i="27"/>
  <c r="CD249" i="27"/>
  <c r="D250" i="27"/>
  <c r="AP249" i="27"/>
  <c r="G249" i="27"/>
  <c r="CJ249" i="27"/>
  <c r="BZ249" i="27"/>
  <c r="CE249" i="27"/>
  <c r="BN249" i="27"/>
  <c r="CB249" i="27"/>
  <c r="BD249" i="27"/>
  <c r="BC249" i="27"/>
  <c r="BH249" i="27" s="1"/>
  <c r="C249" i="27"/>
  <c r="J249" i="27" s="1"/>
  <c r="BQ249" i="27"/>
  <c r="H249" i="27"/>
  <c r="I249" i="27"/>
  <c r="K249" i="27" s="1"/>
  <c r="CF249" i="27"/>
  <c r="CI249" i="27"/>
  <c r="CG249" i="27"/>
  <c r="AY248" i="27"/>
  <c r="AQ248" i="27"/>
  <c r="AW248" i="27"/>
  <c r="AV248" i="27"/>
  <c r="AT248" i="27"/>
  <c r="AR248" i="27"/>
  <c r="AS248" i="27"/>
  <c r="AX248" i="27"/>
  <c r="AZ248" i="27"/>
  <c r="AU248" i="27"/>
  <c r="CL249" i="27" l="1"/>
  <c r="BE249" i="27"/>
  <c r="BY249" i="27"/>
  <c r="AL249" i="27"/>
  <c r="BB248" i="27"/>
  <c r="AN248" i="27"/>
  <c r="CA249" i="27"/>
  <c r="AK249" i="27"/>
  <c r="E249" i="27"/>
  <c r="AM249" i="27" s="1"/>
  <c r="BJ249" i="27"/>
  <c r="CQ249" i="27"/>
  <c r="CR249" i="27"/>
  <c r="BI249" i="27"/>
  <c r="CM249" i="27"/>
  <c r="CH249" i="27"/>
  <c r="A249" i="27"/>
  <c r="CS249" i="27"/>
  <c r="BL249" i="27"/>
  <c r="BM249" i="27" s="1"/>
  <c r="CP249" i="27"/>
  <c r="CT249" i="27"/>
  <c r="AX249" i="27"/>
  <c r="AW249" i="27"/>
  <c r="AS249" i="27"/>
  <c r="AR249" i="27"/>
  <c r="AU249" i="27"/>
  <c r="AV249" i="27"/>
  <c r="AZ249" i="27"/>
  <c r="AT249" i="27"/>
  <c r="AQ249" i="27"/>
  <c r="AY249" i="27"/>
  <c r="CO248" i="27"/>
  <c r="BV248" i="27"/>
  <c r="AO248" i="27"/>
  <c r="L249" i="27"/>
  <c r="CJ250" i="27"/>
  <c r="CF250" i="27"/>
  <c r="BQ250" i="27"/>
  <c r="AP250" i="27"/>
  <c r="BD250" i="27"/>
  <c r="H250" i="27"/>
  <c r="CB250" i="27"/>
  <c r="D251" i="27"/>
  <c r="I250" i="27"/>
  <c r="K250" i="27" s="1"/>
  <c r="CD250" i="27"/>
  <c r="BZ250" i="27"/>
  <c r="G250" i="27"/>
  <c r="C250" i="27"/>
  <c r="J250" i="27" s="1"/>
  <c r="CI250" i="27"/>
  <c r="CG250" i="27"/>
  <c r="BN250" i="27"/>
  <c r="BC250" i="27"/>
  <c r="BH250" i="27" s="1"/>
  <c r="CE250" i="27"/>
  <c r="BK250" i="27"/>
  <c r="B250" i="27"/>
  <c r="CK250" i="27"/>
  <c r="BA250" i="27"/>
  <c r="CN250" i="27"/>
  <c r="CC250" i="27"/>
  <c r="E250" i="27" l="1"/>
  <c r="AM250" i="27" s="1"/>
  <c r="BE250" i="27"/>
  <c r="BY250" i="27"/>
  <c r="AK250" i="27"/>
  <c r="CL250" i="27"/>
  <c r="BB249" i="27"/>
  <c r="AN249" i="27"/>
  <c r="CA250" i="27"/>
  <c r="AL250" i="27"/>
  <c r="AT250" i="27"/>
  <c r="AW250" i="27"/>
  <c r="AS250" i="27"/>
  <c r="AU250" i="27"/>
  <c r="AZ250" i="27"/>
  <c r="AR250" i="27"/>
  <c r="AV250" i="27"/>
  <c r="AY250" i="27"/>
  <c r="AQ250" i="27"/>
  <c r="AX250" i="27"/>
  <c r="AO249" i="27"/>
  <c r="CO249" i="27"/>
  <c r="BV249" i="27"/>
  <c r="L250" i="27"/>
  <c r="C251" i="27"/>
  <c r="J251" i="27" s="1"/>
  <c r="BN251" i="27"/>
  <c r="CD251" i="27"/>
  <c r="CK251" i="27"/>
  <c r="CI251" i="27"/>
  <c r="CG251" i="27"/>
  <c r="H251" i="27"/>
  <c r="CC251" i="27"/>
  <c r="BD251" i="27"/>
  <c r="BK251" i="27"/>
  <c r="CN251" i="27"/>
  <c r="BZ251" i="27"/>
  <c r="BC251" i="27"/>
  <c r="BH251" i="27" s="1"/>
  <c r="B251" i="27"/>
  <c r="G251" i="27"/>
  <c r="CE251" i="27"/>
  <c r="I251" i="27"/>
  <c r="K251" i="27" s="1"/>
  <c r="BA251" i="27"/>
  <c r="CF251" i="27"/>
  <c r="CJ251" i="27"/>
  <c r="BQ251" i="27"/>
  <c r="AP251" i="27"/>
  <c r="CB251" i="27"/>
  <c r="D252" i="27"/>
  <c r="BI250" i="27"/>
  <c r="A250" i="27"/>
  <c r="CR250" i="27"/>
  <c r="CT250" i="27"/>
  <c r="BL250" i="27"/>
  <c r="BM250" i="27" s="1"/>
  <c r="CS250" i="27"/>
  <c r="BJ250" i="27"/>
  <c r="CQ250" i="27"/>
  <c r="CM250" i="27"/>
  <c r="CP250" i="27"/>
  <c r="CH250" i="27"/>
  <c r="CL251" i="27" l="1"/>
  <c r="BE251" i="27"/>
  <c r="CA251" i="27"/>
  <c r="AK251" i="27"/>
  <c r="E251" i="27"/>
  <c r="AM251" i="27" s="1"/>
  <c r="BB250" i="27"/>
  <c r="AN250" i="27"/>
  <c r="BY251" i="27"/>
  <c r="AL251" i="27"/>
  <c r="L251" i="27"/>
  <c r="CR251" i="27"/>
  <c r="A251" i="27"/>
  <c r="CQ251" i="27"/>
  <c r="BI251" i="27"/>
  <c r="CS251" i="27"/>
  <c r="BL251" i="27"/>
  <c r="BM251" i="27" s="1"/>
  <c r="CT251" i="27"/>
  <c r="CP251" i="27"/>
  <c r="CH251" i="27"/>
  <c r="BJ251" i="27"/>
  <c r="CM251" i="27"/>
  <c r="CK252" i="27"/>
  <c r="CI252" i="27"/>
  <c r="CN252" i="27"/>
  <c r="CG252" i="27"/>
  <c r="BK252" i="27"/>
  <c r="H252" i="27"/>
  <c r="C252" i="27"/>
  <c r="J252" i="27" s="1"/>
  <c r="CC252" i="27"/>
  <c r="CF252" i="27"/>
  <c r="CE252" i="27"/>
  <c r="BC252" i="27"/>
  <c r="BH252" i="27" s="1"/>
  <c r="AP252" i="27"/>
  <c r="B252" i="27"/>
  <c r="CD252" i="27"/>
  <c r="G252" i="27"/>
  <c r="BA252" i="27"/>
  <c r="BN252" i="27"/>
  <c r="CJ252" i="27"/>
  <c r="BQ252" i="27"/>
  <c r="I252" i="27"/>
  <c r="K252" i="27" s="1"/>
  <c r="BZ252" i="27"/>
  <c r="BD252" i="27"/>
  <c r="CB252" i="27"/>
  <c r="D253" i="27"/>
  <c r="AQ251" i="27"/>
  <c r="AR251" i="27"/>
  <c r="AY251" i="27"/>
  <c r="AW251" i="27"/>
  <c r="AU251" i="27"/>
  <c r="AX251" i="27"/>
  <c r="AT251" i="27"/>
  <c r="AV251" i="27"/>
  <c r="AS251" i="27"/>
  <c r="AZ251" i="27"/>
  <c r="BV250" i="27"/>
  <c r="CO250" i="27"/>
  <c r="AO250" i="27"/>
  <c r="AK252" i="27" l="1"/>
  <c r="CL252" i="27"/>
  <c r="BE252" i="27"/>
  <c r="BB251" i="27"/>
  <c r="AN251" i="27"/>
  <c r="CA252" i="27"/>
  <c r="E252" i="27"/>
  <c r="AM252" i="27" s="1"/>
  <c r="BY252" i="27"/>
  <c r="AL252" i="27"/>
  <c r="L252" i="27"/>
  <c r="CP252" i="27"/>
  <c r="CQ252" i="27"/>
  <c r="CH252" i="27"/>
  <c r="BJ252" i="27"/>
  <c r="CT252" i="27"/>
  <c r="A252" i="27"/>
  <c r="CS252" i="27"/>
  <c r="BI252" i="27"/>
  <c r="CR252" i="27"/>
  <c r="CM252" i="27"/>
  <c r="BL252" i="27"/>
  <c r="BM252" i="27" s="1"/>
  <c r="AT252" i="27"/>
  <c r="AS252" i="27"/>
  <c r="AW252" i="27"/>
  <c r="AX252" i="27"/>
  <c r="AZ252" i="27"/>
  <c r="AR252" i="27"/>
  <c r="AU252" i="27"/>
  <c r="AY252" i="27"/>
  <c r="AV252" i="27"/>
  <c r="AQ252" i="27"/>
  <c r="CD253" i="27"/>
  <c r="G253" i="27"/>
  <c r="BA253" i="27"/>
  <c r="CN253" i="27"/>
  <c r="BC253" i="27"/>
  <c r="BH253" i="27" s="1"/>
  <c r="BN253" i="27"/>
  <c r="CJ253" i="27"/>
  <c r="CF253" i="27"/>
  <c r="B253" i="27"/>
  <c r="BD253" i="27"/>
  <c r="CB253" i="27"/>
  <c r="CG253" i="27"/>
  <c r="AP253" i="27"/>
  <c r="CE253" i="27"/>
  <c r="BK253" i="27"/>
  <c r="C253" i="27"/>
  <c r="J253" i="27" s="1"/>
  <c r="BQ253" i="27"/>
  <c r="H253" i="27"/>
  <c r="CK253" i="27"/>
  <c r="CI253" i="27"/>
  <c r="BZ253" i="27"/>
  <c r="I253" i="27"/>
  <c r="K253" i="27" s="1"/>
  <c r="CC253" i="27"/>
  <c r="D254" i="27"/>
  <c r="CO251" i="27"/>
  <c r="AO251" i="27"/>
  <c r="BV251" i="27"/>
  <c r="CA253" i="27" l="1"/>
  <c r="BE253" i="27"/>
  <c r="E253" i="27"/>
  <c r="AM253" i="27" s="1"/>
  <c r="CL253" i="27"/>
  <c r="AL253" i="27"/>
  <c r="AK253" i="27"/>
  <c r="BY253" i="27"/>
  <c r="BB252" i="27"/>
  <c r="AN252" i="27"/>
  <c r="AU253" i="27"/>
  <c r="AT253" i="27"/>
  <c r="AX253" i="27"/>
  <c r="AS253" i="27"/>
  <c r="AR253" i="27"/>
  <c r="AV253" i="27"/>
  <c r="AY253" i="27"/>
  <c r="AQ253" i="27"/>
  <c r="AW253" i="27"/>
  <c r="AZ253" i="27"/>
  <c r="BV252" i="27"/>
  <c r="CO252" i="27"/>
  <c r="AO252" i="27"/>
  <c r="CM253" i="27"/>
  <c r="A253" i="27"/>
  <c r="CT253" i="27"/>
  <c r="CP253" i="27"/>
  <c r="CH253" i="27"/>
  <c r="CS253" i="27"/>
  <c r="CR253" i="27"/>
  <c r="BL253" i="27"/>
  <c r="BM253" i="27" s="1"/>
  <c r="BI253" i="27"/>
  <c r="BJ253" i="27"/>
  <c r="CQ253" i="27"/>
  <c r="CF254" i="27"/>
  <c r="BN254" i="27"/>
  <c r="CJ254" i="27"/>
  <c r="AP254" i="27"/>
  <c r="CB254" i="27"/>
  <c r="BD254" i="27"/>
  <c r="CE254" i="27"/>
  <c r="BK254" i="27"/>
  <c r="G254" i="27"/>
  <c r="BQ254" i="27"/>
  <c r="H254" i="27"/>
  <c r="B254" i="27"/>
  <c r="CD254" i="27"/>
  <c r="CK254" i="27"/>
  <c r="D255" i="27"/>
  <c r="BA254" i="27"/>
  <c r="BC254" i="27"/>
  <c r="BH254" i="27" s="1"/>
  <c r="C254" i="27"/>
  <c r="J254" i="27" s="1"/>
  <c r="CG254" i="27"/>
  <c r="CN254" i="27"/>
  <c r="I254" i="27"/>
  <c r="K254" i="27" s="1"/>
  <c r="CC254" i="27"/>
  <c r="BZ254" i="27"/>
  <c r="CI254" i="27"/>
  <c r="L253" i="27"/>
  <c r="CA254" i="27" l="1"/>
  <c r="BE254" i="27"/>
  <c r="BY254" i="27"/>
  <c r="E254" i="27"/>
  <c r="AM254" i="27" s="1"/>
  <c r="CL254" i="27"/>
  <c r="BB253" i="27"/>
  <c r="AN253" i="27"/>
  <c r="AL254" i="27"/>
  <c r="AK254" i="27"/>
  <c r="L254" i="27"/>
  <c r="AV254" i="27"/>
  <c r="AU254" i="27"/>
  <c r="AT254" i="27"/>
  <c r="AW254" i="27"/>
  <c r="AZ254" i="27"/>
  <c r="AR254" i="27"/>
  <c r="AS254" i="27"/>
  <c r="AQ254" i="27"/>
  <c r="AX254" i="27"/>
  <c r="AY254" i="27"/>
  <c r="AO253" i="27"/>
  <c r="CO253" i="27"/>
  <c r="BV253" i="27"/>
  <c r="AP255" i="27"/>
  <c r="BD255" i="27"/>
  <c r="D256" i="27"/>
  <c r="CF255" i="27"/>
  <c r="CE255" i="27"/>
  <c r="BK255" i="27"/>
  <c r="C255" i="27"/>
  <c r="J255" i="27" s="1"/>
  <c r="BQ255" i="27"/>
  <c r="H255" i="27"/>
  <c r="BA255" i="27"/>
  <c r="CJ255" i="27"/>
  <c r="CI255" i="27"/>
  <c r="CG255" i="27"/>
  <c r="CK255" i="27"/>
  <c r="CC255" i="27"/>
  <c r="CB255" i="27"/>
  <c r="I255" i="27"/>
  <c r="K255" i="27" s="1"/>
  <c r="B255" i="27"/>
  <c r="BC255" i="27"/>
  <c r="BH255" i="27" s="1"/>
  <c r="BN255" i="27"/>
  <c r="CN255" i="27"/>
  <c r="CD255" i="27"/>
  <c r="G255" i="27"/>
  <c r="BZ255" i="27"/>
  <c r="A254" i="27"/>
  <c r="BJ254" i="27"/>
  <c r="CM254" i="27"/>
  <c r="BI254" i="27"/>
  <c r="CT254" i="27"/>
  <c r="CQ254" i="27"/>
  <c r="CH254" i="27"/>
  <c r="CS254" i="27"/>
  <c r="CR254" i="27"/>
  <c r="BL254" i="27"/>
  <c r="BM254" i="27" s="1"/>
  <c r="CP254" i="27"/>
  <c r="E255" i="27" l="1"/>
  <c r="AM255" i="27" s="1"/>
  <c r="BE255" i="27"/>
  <c r="AL255" i="27"/>
  <c r="BY255" i="27"/>
  <c r="AK255" i="27"/>
  <c r="CA255" i="27"/>
  <c r="BB254" i="27"/>
  <c r="AN254" i="27"/>
  <c r="CL255" i="27"/>
  <c r="L255" i="27"/>
  <c r="CO254" i="27"/>
  <c r="AO254" i="27"/>
  <c r="BV254" i="27"/>
  <c r="BJ255" i="27"/>
  <c r="CP255" i="27"/>
  <c r="BL255" i="27"/>
  <c r="BM255" i="27" s="1"/>
  <c r="BI255" i="27"/>
  <c r="CR255" i="27"/>
  <c r="A255" i="27"/>
  <c r="CS255" i="27"/>
  <c r="CM255" i="27"/>
  <c r="CH255" i="27"/>
  <c r="CT255" i="27"/>
  <c r="CQ255" i="27"/>
  <c r="AV255" i="27"/>
  <c r="AR255" i="27"/>
  <c r="AU255" i="27"/>
  <c r="AS255" i="27"/>
  <c r="AT255" i="27"/>
  <c r="AY255" i="27"/>
  <c r="AZ255" i="27"/>
  <c r="AQ255" i="27"/>
  <c r="AX255" i="27"/>
  <c r="AW255" i="27"/>
  <c r="C256" i="27"/>
  <c r="J256" i="27" s="1"/>
  <c r="BQ256" i="27"/>
  <c r="H256" i="27"/>
  <c r="G256" i="27"/>
  <c r="CB256" i="27"/>
  <c r="CK256" i="27"/>
  <c r="BN256" i="27"/>
  <c r="BZ256" i="27"/>
  <c r="CE256" i="27"/>
  <c r="CG256" i="27"/>
  <c r="CJ256" i="27"/>
  <c r="BK256" i="27"/>
  <c r="I256" i="27"/>
  <c r="K256" i="27" s="1"/>
  <c r="BC256" i="27"/>
  <c r="BH256" i="27" s="1"/>
  <c r="BD256" i="27"/>
  <c r="BA256" i="27"/>
  <c r="AP256" i="27"/>
  <c r="B256" i="27"/>
  <c r="CN256" i="27"/>
  <c r="CD256" i="27"/>
  <c r="CI256" i="27"/>
  <c r="CF256" i="27"/>
  <c r="CC256" i="27"/>
  <c r="D257" i="27"/>
  <c r="CL256" i="27" l="1"/>
  <c r="BE256" i="27"/>
  <c r="BY256" i="27"/>
  <c r="AL256" i="27"/>
  <c r="AK256" i="27"/>
  <c r="E256" i="27"/>
  <c r="AM256" i="27" s="1"/>
  <c r="CA256" i="27"/>
  <c r="BB255" i="27"/>
  <c r="AN255" i="27"/>
  <c r="L256" i="27"/>
  <c r="CM256" i="27"/>
  <c r="CT256" i="27"/>
  <c r="CR256" i="27"/>
  <c r="BL256" i="27"/>
  <c r="BM256" i="27" s="1"/>
  <c r="CH256" i="27"/>
  <c r="BI256" i="27"/>
  <c r="A256" i="27"/>
  <c r="CP256" i="27"/>
  <c r="CS256" i="27"/>
  <c r="BJ256" i="27"/>
  <c r="CQ256" i="27"/>
  <c r="CC257" i="27"/>
  <c r="D258" i="27"/>
  <c r="CJ257" i="27"/>
  <c r="C257" i="27"/>
  <c r="J257" i="27" s="1"/>
  <c r="BZ257" i="27"/>
  <c r="CK257" i="27"/>
  <c r="BA257" i="27"/>
  <c r="CI257" i="27"/>
  <c r="BK257" i="27"/>
  <c r="BC257" i="27"/>
  <c r="BH257" i="27" s="1"/>
  <c r="CN257" i="27"/>
  <c r="BQ257" i="27"/>
  <c r="CE257" i="27"/>
  <c r="B257" i="27"/>
  <c r="G257" i="27"/>
  <c r="CD257" i="27"/>
  <c r="CG257" i="27"/>
  <c r="BD257" i="27"/>
  <c r="CB257" i="27"/>
  <c r="I257" i="27"/>
  <c r="K257" i="27" s="1"/>
  <c r="BN257" i="27"/>
  <c r="CF257" i="27"/>
  <c r="AP257" i="27"/>
  <c r="H257" i="27"/>
  <c r="AT256" i="27"/>
  <c r="AZ256" i="27"/>
  <c r="AU256" i="27"/>
  <c r="AR256" i="27"/>
  <c r="AS256" i="27"/>
  <c r="AQ256" i="27"/>
  <c r="AW256" i="27"/>
  <c r="AY256" i="27"/>
  <c r="AX256" i="27"/>
  <c r="AV256" i="27"/>
  <c r="BV255" i="27"/>
  <c r="AO255" i="27"/>
  <c r="CO255" i="27"/>
  <c r="CA257" i="27" l="1"/>
  <c r="BE257" i="27"/>
  <c r="E257" i="27"/>
  <c r="AM257" i="27" s="1"/>
  <c r="AL257" i="27"/>
  <c r="BB256" i="27"/>
  <c r="AN256" i="27"/>
  <c r="CL257" i="27"/>
  <c r="BY257" i="27"/>
  <c r="AK257" i="27"/>
  <c r="L257" i="27"/>
  <c r="CO256" i="27"/>
  <c r="BV256" i="27"/>
  <c r="AO256" i="27"/>
  <c r="CK258" i="27"/>
  <c r="CG258" i="27"/>
  <c r="B258" i="27"/>
  <c r="BE258" i="27" s="1"/>
  <c r="BD258" i="27"/>
  <c r="AP258" i="27"/>
  <c r="BA258" i="27"/>
  <c r="I258" i="27"/>
  <c r="K258" i="27" s="1"/>
  <c r="CC258" i="27"/>
  <c r="BC258" i="27"/>
  <c r="BH258" i="27" s="1"/>
  <c r="BK258" i="27"/>
  <c r="CE258" i="27"/>
  <c r="CI258" i="27"/>
  <c r="D259" i="27"/>
  <c r="H258" i="27"/>
  <c r="CD258" i="27"/>
  <c r="G258" i="27"/>
  <c r="CN258" i="27"/>
  <c r="C258" i="27"/>
  <c r="J258" i="27" s="1"/>
  <c r="CF258" i="27"/>
  <c r="BN258" i="27"/>
  <c r="CJ258" i="27"/>
  <c r="BZ258" i="27"/>
  <c r="CB258" i="27"/>
  <c r="BQ258" i="27"/>
  <c r="AQ257" i="27"/>
  <c r="AT257" i="27"/>
  <c r="AR257" i="27"/>
  <c r="AX257" i="27"/>
  <c r="AW257" i="27"/>
  <c r="AY257" i="27"/>
  <c r="AU257" i="27"/>
  <c r="AS257" i="27"/>
  <c r="AV257" i="27"/>
  <c r="AZ257" i="27"/>
  <c r="CR257" i="27"/>
  <c r="BI257" i="27"/>
  <c r="CQ257" i="27"/>
  <c r="CM257" i="27"/>
  <c r="CT257" i="27"/>
  <c r="CP257" i="27"/>
  <c r="BL257" i="27"/>
  <c r="BM257" i="27" s="1"/>
  <c r="CH257" i="27"/>
  <c r="BJ257" i="27"/>
  <c r="CS257" i="27"/>
  <c r="A257" i="27"/>
  <c r="CL258" i="27" l="1"/>
  <c r="AK258" i="27"/>
  <c r="BY258" i="27"/>
  <c r="CA258" i="27"/>
  <c r="AL258" i="27"/>
  <c r="BB257" i="27"/>
  <c r="AN257" i="27"/>
  <c r="E258" i="27"/>
  <c r="AM258" i="27" s="1"/>
  <c r="CO257" i="27"/>
  <c r="AO257" i="27"/>
  <c r="BV257" i="27"/>
  <c r="L258" i="27"/>
  <c r="AV258" i="27"/>
  <c r="AR258" i="27"/>
  <c r="AU258" i="27"/>
  <c r="AY258" i="27"/>
  <c r="AT258" i="27"/>
  <c r="AQ258" i="27"/>
  <c r="AW258" i="27"/>
  <c r="AS258" i="27"/>
  <c r="AX258" i="27"/>
  <c r="AZ258" i="27"/>
  <c r="CQ258" i="27"/>
  <c r="BJ258" i="27"/>
  <c r="CM258" i="27"/>
  <c r="CP258" i="27"/>
  <c r="CS258" i="27"/>
  <c r="CR258" i="27"/>
  <c r="A258" i="27"/>
  <c r="CT258" i="27"/>
  <c r="CH258" i="27"/>
  <c r="BI258" i="27"/>
  <c r="BL258" i="27"/>
  <c r="BM258" i="27" s="1"/>
  <c r="BC259" i="27"/>
  <c r="BH259" i="27" s="1"/>
  <c r="BA259" i="27"/>
  <c r="CN259" i="27"/>
  <c r="CD259" i="27"/>
  <c r="G259" i="27"/>
  <c r="CJ259" i="27"/>
  <c r="AP259" i="27"/>
  <c r="BD259" i="27"/>
  <c r="BZ259" i="27"/>
  <c r="CB259" i="27"/>
  <c r="CF259" i="27"/>
  <c r="BN259" i="27"/>
  <c r="D260" i="27"/>
  <c r="CI259" i="27"/>
  <c r="CC259" i="27"/>
  <c r="CE259" i="27"/>
  <c r="C259" i="27"/>
  <c r="J259" i="27" s="1"/>
  <c r="BK259" i="27"/>
  <c r="I259" i="27"/>
  <c r="K259" i="27" s="1"/>
  <c r="B259" i="27"/>
  <c r="BQ259" i="27"/>
  <c r="H259" i="27"/>
  <c r="CG259" i="27"/>
  <c r="CK259" i="27"/>
  <c r="E259" i="27" l="1"/>
  <c r="AM259" i="27" s="1"/>
  <c r="BE259" i="27"/>
  <c r="BY259" i="27"/>
  <c r="AL259" i="27"/>
  <c r="CL259" i="27"/>
  <c r="BB258" i="27"/>
  <c r="AN258" i="27"/>
  <c r="CA259" i="27"/>
  <c r="AK259" i="27"/>
  <c r="L259" i="27"/>
  <c r="AO258" i="27"/>
  <c r="CO258" i="27"/>
  <c r="BV258" i="27"/>
  <c r="CH259" i="27"/>
  <c r="CT259" i="27"/>
  <c r="BJ259" i="27"/>
  <c r="BI259" i="27"/>
  <c r="A259" i="27"/>
  <c r="CR259" i="27"/>
  <c r="CM259" i="27"/>
  <c r="CQ259" i="27"/>
  <c r="BL259" i="27"/>
  <c r="BM259" i="27" s="1"/>
  <c r="CS259" i="27"/>
  <c r="CP259" i="27"/>
  <c r="AV259" i="27"/>
  <c r="AZ259" i="27"/>
  <c r="AT259" i="27"/>
  <c r="AU259" i="27"/>
  <c r="AR259" i="27"/>
  <c r="AY259" i="27"/>
  <c r="AX259" i="27"/>
  <c r="AQ259" i="27"/>
  <c r="AS259" i="27"/>
  <c r="AW259" i="27"/>
  <c r="AP260" i="27"/>
  <c r="BD260" i="27"/>
  <c r="D261" i="27"/>
  <c r="H260" i="27"/>
  <c r="CB260" i="27"/>
  <c r="CE260" i="27"/>
  <c r="BZ260" i="27"/>
  <c r="C260" i="27"/>
  <c r="J260" i="27" s="1"/>
  <c r="BQ260" i="27"/>
  <c r="CG260" i="27"/>
  <c r="CI260" i="27"/>
  <c r="BC260" i="27"/>
  <c r="BH260" i="27" s="1"/>
  <c r="I260" i="27"/>
  <c r="K260" i="27" s="1"/>
  <c r="CK260" i="27"/>
  <c r="B260" i="27"/>
  <c r="CJ260" i="27"/>
  <c r="CN260" i="27"/>
  <c r="CC260" i="27"/>
  <c r="G260" i="27"/>
  <c r="BK260" i="27"/>
  <c r="CD260" i="27"/>
  <c r="BA260" i="27"/>
  <c r="CF260" i="27"/>
  <c r="BN260" i="27"/>
  <c r="E260" i="27" l="1"/>
  <c r="AM260" i="27" s="1"/>
  <c r="BE260" i="27"/>
  <c r="BY260" i="27"/>
  <c r="CA260" i="27"/>
  <c r="AL260" i="27"/>
  <c r="AK260" i="27"/>
  <c r="CL260" i="27"/>
  <c r="BB259" i="27"/>
  <c r="AN259" i="27"/>
  <c r="CO259" i="27"/>
  <c r="BV259" i="27"/>
  <c r="AO259" i="27"/>
  <c r="CH260" i="27"/>
  <c r="BJ260" i="27"/>
  <c r="BI260" i="27"/>
  <c r="CS260" i="27"/>
  <c r="A260" i="27"/>
  <c r="CR260" i="27"/>
  <c r="CM260" i="27"/>
  <c r="CQ260" i="27"/>
  <c r="BL260" i="27"/>
  <c r="BM260" i="27" s="1"/>
  <c r="CP260" i="27"/>
  <c r="CT260" i="27"/>
  <c r="L260" i="27"/>
  <c r="CG261" i="27"/>
  <c r="BK261" i="27"/>
  <c r="D262" i="27"/>
  <c r="I261" i="27"/>
  <c r="K261" i="27" s="1"/>
  <c r="BA261" i="27"/>
  <c r="BN261" i="27"/>
  <c r="AP261" i="27"/>
  <c r="B261" i="27"/>
  <c r="CJ261" i="27"/>
  <c r="H261" i="27"/>
  <c r="CN261" i="27"/>
  <c r="CB261" i="27"/>
  <c r="BD261" i="27"/>
  <c r="CC261" i="27"/>
  <c r="CF261" i="27"/>
  <c r="BC261" i="27"/>
  <c r="BH261" i="27" s="1"/>
  <c r="CE261" i="27"/>
  <c r="CK261" i="27"/>
  <c r="G261" i="27"/>
  <c r="C261" i="27"/>
  <c r="J261" i="27" s="1"/>
  <c r="BQ261" i="27"/>
  <c r="CD261" i="27"/>
  <c r="BZ261" i="27"/>
  <c r="CI261" i="27"/>
  <c r="AY260" i="27"/>
  <c r="AU260" i="27"/>
  <c r="AQ260" i="27"/>
  <c r="AT260" i="27"/>
  <c r="AX260" i="27"/>
  <c r="AW260" i="27"/>
  <c r="AS260" i="27"/>
  <c r="AV260" i="27"/>
  <c r="AR260" i="27"/>
  <c r="AZ260" i="27"/>
  <c r="E261" i="27" l="1"/>
  <c r="AM261" i="27" s="1"/>
  <c r="BE261" i="27"/>
  <c r="AL261" i="27"/>
  <c r="AK261" i="27"/>
  <c r="CL261" i="27"/>
  <c r="BY261" i="27"/>
  <c r="CA261" i="27"/>
  <c r="BB260" i="27"/>
  <c r="AN260" i="27"/>
  <c r="CO260" i="27"/>
  <c r="BV260" i="27"/>
  <c r="AO260" i="27"/>
  <c r="AY261" i="27"/>
  <c r="AT261" i="27"/>
  <c r="AS261" i="27"/>
  <c r="AQ261" i="27"/>
  <c r="AX261" i="27"/>
  <c r="AW261" i="27"/>
  <c r="AR261" i="27"/>
  <c r="AZ261" i="27"/>
  <c r="AV261" i="27"/>
  <c r="AU261" i="27"/>
  <c r="L261" i="27"/>
  <c r="CI262" i="27"/>
  <c r="CG262" i="27"/>
  <c r="BC262" i="27"/>
  <c r="BH262" i="27" s="1"/>
  <c r="G262" i="27"/>
  <c r="CE262" i="27"/>
  <c r="D263" i="27"/>
  <c r="H262" i="27"/>
  <c r="BN262" i="27"/>
  <c r="BK262" i="27"/>
  <c r="B262" i="27"/>
  <c r="CJ262" i="27"/>
  <c r="BQ262" i="27"/>
  <c r="C262" i="27"/>
  <c r="J262" i="27" s="1"/>
  <c r="CC262" i="27"/>
  <c r="BA262" i="27"/>
  <c r="CN262" i="27"/>
  <c r="CB262" i="27"/>
  <c r="I262" i="27"/>
  <c r="K262" i="27" s="1"/>
  <c r="CF262" i="27"/>
  <c r="AP262" i="27"/>
  <c r="BZ262" i="27"/>
  <c r="CK262" i="27"/>
  <c r="CD262" i="27"/>
  <c r="BD262" i="27"/>
  <c r="CM261" i="27"/>
  <c r="CR261" i="27"/>
  <c r="CT261" i="27"/>
  <c r="CS261" i="27"/>
  <c r="BL261" i="27"/>
  <c r="BM261" i="27" s="1"/>
  <c r="A261" i="27"/>
  <c r="CP261" i="27"/>
  <c r="CQ261" i="27"/>
  <c r="BJ261" i="27"/>
  <c r="CH261" i="27"/>
  <c r="BI261" i="27"/>
  <c r="E262" i="27" l="1"/>
  <c r="AM262" i="27" s="1"/>
  <c r="BE262" i="27"/>
  <c r="AK262" i="27"/>
  <c r="AL262" i="27"/>
  <c r="CA262" i="27"/>
  <c r="CL262" i="27"/>
  <c r="BB261" i="27"/>
  <c r="AN261" i="27"/>
  <c r="BY262" i="27"/>
  <c r="L262" i="27"/>
  <c r="CK263" i="27"/>
  <c r="BA263" i="27"/>
  <c r="CG263" i="27"/>
  <c r="CN263" i="27"/>
  <c r="I263" i="27"/>
  <c r="K263" i="27" s="1"/>
  <c r="CC263" i="27"/>
  <c r="D264" i="27"/>
  <c r="C263" i="27"/>
  <c r="J263" i="27" s="1"/>
  <c r="BQ263" i="27"/>
  <c r="BC263" i="27"/>
  <c r="BH263" i="27" s="1"/>
  <c r="BZ263" i="27"/>
  <c r="CE263" i="27"/>
  <c r="AP263" i="27"/>
  <c r="B263" i="27"/>
  <c r="CJ263" i="27"/>
  <c r="CB263" i="27"/>
  <c r="CF263" i="27"/>
  <c r="BD263" i="27"/>
  <c r="CD263" i="27"/>
  <c r="CI263" i="27"/>
  <c r="H263" i="27"/>
  <c r="BN263" i="27"/>
  <c r="BK263" i="27"/>
  <c r="G263" i="27"/>
  <c r="CH262" i="27"/>
  <c r="CM262" i="27"/>
  <c r="CS262" i="27"/>
  <c r="BJ262" i="27"/>
  <c r="A262" i="27"/>
  <c r="CR262" i="27"/>
  <c r="CP262" i="27"/>
  <c r="BI262" i="27"/>
  <c r="CQ262" i="27"/>
  <c r="BL262" i="27"/>
  <c r="BM262" i="27" s="1"/>
  <c r="CT262" i="27"/>
  <c r="AO261" i="27"/>
  <c r="CO261" i="27"/>
  <c r="BV261" i="27"/>
  <c r="AQ262" i="27"/>
  <c r="AX262" i="27"/>
  <c r="AS262" i="27"/>
  <c r="AU262" i="27"/>
  <c r="AT262" i="27"/>
  <c r="AW262" i="27"/>
  <c r="AY262" i="27"/>
  <c r="AZ262" i="27"/>
  <c r="AV262" i="27"/>
  <c r="AR262" i="27"/>
  <c r="CL263" i="27" l="1"/>
  <c r="BE263" i="27"/>
  <c r="AL263" i="27"/>
  <c r="BB262" i="27"/>
  <c r="AN262" i="27"/>
  <c r="AK263" i="27"/>
  <c r="E263" i="27"/>
  <c r="AM263" i="27" s="1"/>
  <c r="CA263" i="27"/>
  <c r="BY263" i="27"/>
  <c r="L263" i="27"/>
  <c r="CO262" i="27"/>
  <c r="BV262" i="27"/>
  <c r="AO262" i="27"/>
  <c r="AV263" i="27"/>
  <c r="AT263" i="27"/>
  <c r="AU263" i="27"/>
  <c r="AQ263" i="27"/>
  <c r="AZ263" i="27"/>
  <c r="AS263" i="27"/>
  <c r="AR263" i="27"/>
  <c r="AX263" i="27"/>
  <c r="AY263" i="27"/>
  <c r="AW263" i="27"/>
  <c r="BL263" i="27"/>
  <c r="BM263" i="27" s="1"/>
  <c r="CQ263" i="27"/>
  <c r="CP263" i="27"/>
  <c r="CH263" i="27"/>
  <c r="BJ263" i="27"/>
  <c r="CT263" i="27"/>
  <c r="A263" i="27"/>
  <c r="CM263" i="27"/>
  <c r="CS263" i="27"/>
  <c r="BI263" i="27"/>
  <c r="CR263" i="27"/>
  <c r="BN264" i="27"/>
  <c r="CJ264" i="27"/>
  <c r="C264" i="27"/>
  <c r="J264" i="27" s="1"/>
  <c r="BD264" i="27"/>
  <c r="CB264" i="27"/>
  <c r="CG264" i="27"/>
  <c r="BZ264" i="27"/>
  <c r="CE264" i="27"/>
  <c r="BQ264" i="27"/>
  <c r="B264" i="27"/>
  <c r="H264" i="27"/>
  <c r="CD264" i="27"/>
  <c r="G264" i="27"/>
  <c r="D265" i="27"/>
  <c r="CK264" i="27"/>
  <c r="CI264" i="27"/>
  <c r="CN264" i="27"/>
  <c r="AP264" i="27"/>
  <c r="I264" i="27"/>
  <c r="K264" i="27" s="1"/>
  <c r="CC264" i="27"/>
  <c r="CF264" i="27"/>
  <c r="BC264" i="27"/>
  <c r="BH264" i="27" s="1"/>
  <c r="BK264" i="27"/>
  <c r="BA264" i="27"/>
  <c r="E264" i="27" l="1"/>
  <c r="AM264" i="27" s="1"/>
  <c r="BE264" i="27"/>
  <c r="BY264" i="27"/>
  <c r="BB263" i="27"/>
  <c r="AN263" i="27"/>
  <c r="CL264" i="27"/>
  <c r="CA264" i="27"/>
  <c r="AL264" i="27"/>
  <c r="AK264" i="27"/>
  <c r="CR264" i="27"/>
  <c r="BL264" i="27"/>
  <c r="BM264" i="27" s="1"/>
  <c r="CQ264" i="27"/>
  <c r="BI264" i="27"/>
  <c r="CP264" i="27"/>
  <c r="CS264" i="27"/>
  <c r="A264" i="27"/>
  <c r="CM264" i="27"/>
  <c r="CH264" i="27"/>
  <c r="CT264" i="27"/>
  <c r="BJ264" i="27"/>
  <c r="BV263" i="27"/>
  <c r="CO263" i="27"/>
  <c r="AO263" i="27"/>
  <c r="CK265" i="27"/>
  <c r="D266" i="27"/>
  <c r="I265" i="27"/>
  <c r="K265" i="27" s="1"/>
  <c r="BZ265" i="27"/>
  <c r="CC265" i="27"/>
  <c r="BC265" i="27"/>
  <c r="BH265" i="27" s="1"/>
  <c r="CN265" i="27"/>
  <c r="CD265" i="27"/>
  <c r="G265" i="27"/>
  <c r="BA265" i="27"/>
  <c r="CF265" i="27"/>
  <c r="CJ265" i="27"/>
  <c r="CI265" i="27"/>
  <c r="BN265" i="27"/>
  <c r="BQ265" i="27"/>
  <c r="H265" i="27"/>
  <c r="B265" i="27"/>
  <c r="C265" i="27"/>
  <c r="J265" i="27" s="1"/>
  <c r="AP265" i="27"/>
  <c r="BD265" i="27"/>
  <c r="CB265" i="27"/>
  <c r="CG265" i="27"/>
  <c r="CE265" i="27"/>
  <c r="BK265" i="27"/>
  <c r="AY264" i="27"/>
  <c r="AQ264" i="27"/>
  <c r="AW264" i="27"/>
  <c r="AX264" i="27"/>
  <c r="AR264" i="27"/>
  <c r="AZ264" i="27"/>
  <c r="AV264" i="27"/>
  <c r="AS264" i="27"/>
  <c r="AU264" i="27"/>
  <c r="AT264" i="27"/>
  <c r="L264" i="27"/>
  <c r="CL265" i="27" l="1"/>
  <c r="BE265" i="27"/>
  <c r="BB264" i="27"/>
  <c r="AN264" i="27"/>
  <c r="E265" i="27"/>
  <c r="AM265" i="27" s="1"/>
  <c r="CA265" i="27"/>
  <c r="AK265" i="27"/>
  <c r="BY265" i="27"/>
  <c r="AL265" i="27"/>
  <c r="AO264" i="27"/>
  <c r="CO264" i="27"/>
  <c r="BV264" i="27"/>
  <c r="A265" i="27"/>
  <c r="BJ265" i="27"/>
  <c r="CM265" i="27"/>
  <c r="CQ265" i="27"/>
  <c r="CT265" i="27"/>
  <c r="BI265" i="27"/>
  <c r="CH265" i="27"/>
  <c r="CS265" i="27"/>
  <c r="CR265" i="27"/>
  <c r="CP265" i="27"/>
  <c r="BL265" i="27"/>
  <c r="BM265" i="27" s="1"/>
  <c r="AV265" i="27"/>
  <c r="AU265" i="27"/>
  <c r="AT265" i="27"/>
  <c r="AW265" i="27"/>
  <c r="AZ265" i="27"/>
  <c r="AR265" i="27"/>
  <c r="AS265" i="27"/>
  <c r="AQ265" i="27"/>
  <c r="AY265" i="27"/>
  <c r="AX265" i="27"/>
  <c r="L265" i="27"/>
  <c r="B266" i="27"/>
  <c r="BE266" i="27" s="1"/>
  <c r="BC266" i="27"/>
  <c r="BH266" i="27" s="1"/>
  <c r="CN266" i="27"/>
  <c r="CD266" i="27"/>
  <c r="G266" i="27"/>
  <c r="CF266" i="27"/>
  <c r="BN266" i="27"/>
  <c r="CI266" i="27"/>
  <c r="C266" i="27"/>
  <c r="J266" i="27" s="1"/>
  <c r="CJ266" i="27"/>
  <c r="D267" i="27"/>
  <c r="AP266" i="27"/>
  <c r="BD266" i="27"/>
  <c r="BK266" i="27"/>
  <c r="CE266" i="27"/>
  <c r="CB266" i="27"/>
  <c r="CK266" i="27"/>
  <c r="BQ266" i="27"/>
  <c r="H266" i="27"/>
  <c r="BA266" i="27"/>
  <c r="BZ266" i="27"/>
  <c r="CG266" i="27"/>
  <c r="I266" i="27"/>
  <c r="K266" i="27" s="1"/>
  <c r="CC266" i="27"/>
  <c r="CL266" i="27" l="1"/>
  <c r="AK266" i="27"/>
  <c r="BB265" i="27"/>
  <c r="AN265" i="27"/>
  <c r="BY266" i="27"/>
  <c r="E266" i="27"/>
  <c r="AM266" i="27" s="1"/>
  <c r="CA266" i="27"/>
  <c r="AL266" i="27"/>
  <c r="L266" i="27"/>
  <c r="D268" i="27"/>
  <c r="AP267" i="27"/>
  <c r="BD267" i="27"/>
  <c r="BA267" i="27"/>
  <c r="BZ267" i="27"/>
  <c r="CE267" i="27"/>
  <c r="CK267" i="27"/>
  <c r="C267" i="27"/>
  <c r="J267" i="27" s="1"/>
  <c r="BQ267" i="27"/>
  <c r="H267" i="27"/>
  <c r="CI267" i="27"/>
  <c r="BN267" i="27"/>
  <c r="CF267" i="27"/>
  <c r="CG267" i="27"/>
  <c r="CJ267" i="27"/>
  <c r="G267" i="27"/>
  <c r="I267" i="27"/>
  <c r="K267" i="27" s="1"/>
  <c r="CB267" i="27"/>
  <c r="BK267" i="27"/>
  <c r="B267" i="27"/>
  <c r="CC267" i="27"/>
  <c r="CN267" i="27"/>
  <c r="CD267" i="27"/>
  <c r="BC267" i="27"/>
  <c r="BH267" i="27" s="1"/>
  <c r="CO265" i="27"/>
  <c r="BV265" i="27"/>
  <c r="AO265" i="27"/>
  <c r="AZ266" i="27"/>
  <c r="AR266" i="27"/>
  <c r="AU266" i="27"/>
  <c r="AY266" i="27"/>
  <c r="AT266" i="27"/>
  <c r="AQ266" i="27"/>
  <c r="AS266" i="27"/>
  <c r="AX266" i="27"/>
  <c r="AW266" i="27"/>
  <c r="AV266" i="27"/>
  <c r="CQ266" i="27"/>
  <c r="CR266" i="27"/>
  <c r="CP266" i="27"/>
  <c r="CS266" i="27"/>
  <c r="BI266" i="27"/>
  <c r="CH266" i="27"/>
  <c r="CM266" i="27"/>
  <c r="A266" i="27"/>
  <c r="BL266" i="27"/>
  <c r="BM266" i="27" s="1"/>
  <c r="BJ266" i="27"/>
  <c r="CT266" i="27"/>
  <c r="CL267" i="27" l="1"/>
  <c r="BE267" i="27"/>
  <c r="AL267" i="27"/>
  <c r="E267" i="27"/>
  <c r="AM267" i="27" s="1"/>
  <c r="AK267" i="27"/>
  <c r="BB266" i="27"/>
  <c r="AN266" i="27"/>
  <c r="CA267" i="27"/>
  <c r="BY267" i="27"/>
  <c r="L267" i="27"/>
  <c r="CT267" i="27"/>
  <c r="BL267" i="27"/>
  <c r="BM267" i="27" s="1"/>
  <c r="CR267" i="27"/>
  <c r="CP267" i="27"/>
  <c r="A267" i="27"/>
  <c r="CM267" i="27"/>
  <c r="CH267" i="27"/>
  <c r="CS267" i="27"/>
  <c r="BJ267" i="27"/>
  <c r="CQ267" i="27"/>
  <c r="BI267" i="27"/>
  <c r="AZ267" i="27"/>
  <c r="AU267" i="27"/>
  <c r="AS267" i="27"/>
  <c r="AY267" i="27"/>
  <c r="AV267" i="27"/>
  <c r="AR267" i="27"/>
  <c r="AQ267" i="27"/>
  <c r="AX267" i="27"/>
  <c r="AT267" i="27"/>
  <c r="AW267" i="27"/>
  <c r="AO266" i="27"/>
  <c r="BV266" i="27"/>
  <c r="CO266" i="27"/>
  <c r="C268" i="27"/>
  <c r="J268" i="27" s="1"/>
  <c r="BQ268" i="27"/>
  <c r="CB268" i="27"/>
  <c r="CI268" i="27"/>
  <c r="CG268" i="27"/>
  <c r="CJ268" i="27"/>
  <c r="BN268" i="27"/>
  <c r="AP268" i="27"/>
  <c r="I268" i="27"/>
  <c r="K268" i="27" s="1"/>
  <c r="G268" i="27"/>
  <c r="CD268" i="27"/>
  <c r="BD268" i="27"/>
  <c r="BK268" i="27"/>
  <c r="B268" i="27"/>
  <c r="CK268" i="27"/>
  <c r="H268" i="27"/>
  <c r="BA268" i="27"/>
  <c r="CN268" i="27"/>
  <c r="CC268" i="27"/>
  <c r="BC268" i="27"/>
  <c r="BH268" i="27" s="1"/>
  <c r="D269" i="27"/>
  <c r="BZ268" i="27"/>
  <c r="CE268" i="27"/>
  <c r="AK268" i="27"/>
  <c r="CF268" i="27"/>
  <c r="BY268" i="27" l="1"/>
  <c r="CL268" i="27"/>
  <c r="BE268" i="27"/>
  <c r="BB267" i="27"/>
  <c r="AN267" i="27"/>
  <c r="E268" i="27"/>
  <c r="AM268" i="27" s="1"/>
  <c r="CA268" i="27"/>
  <c r="AL268" i="27"/>
  <c r="L268" i="27"/>
  <c r="BV267" i="27"/>
  <c r="AO267" i="27"/>
  <c r="CO267" i="27"/>
  <c r="CH268" i="27"/>
  <c r="BL268" i="27"/>
  <c r="BM268" i="27" s="1"/>
  <c r="BJ268" i="27"/>
  <c r="BI268" i="27"/>
  <c r="A268" i="27"/>
  <c r="CM268" i="27"/>
  <c r="CS268" i="27"/>
  <c r="CR268" i="27"/>
  <c r="CQ268" i="27"/>
  <c r="CT268" i="27"/>
  <c r="CP268" i="27"/>
  <c r="AQ268" i="27"/>
  <c r="AV268" i="27"/>
  <c r="AT268" i="27"/>
  <c r="AX268" i="27"/>
  <c r="AW268" i="27"/>
  <c r="AU268" i="27"/>
  <c r="AY268" i="27"/>
  <c r="AS268" i="27"/>
  <c r="AZ268" i="27"/>
  <c r="AR268" i="27"/>
  <c r="BA269" i="27"/>
  <c r="CN269" i="27"/>
  <c r="H269" i="27"/>
  <c r="CC269" i="27"/>
  <c r="AP269" i="27"/>
  <c r="CJ269" i="27"/>
  <c r="CF269" i="27"/>
  <c r="CB269" i="27"/>
  <c r="D270" i="27"/>
  <c r="BC269" i="27"/>
  <c r="BH269" i="27" s="1"/>
  <c r="CK269" i="27"/>
  <c r="CD269" i="27"/>
  <c r="CG269" i="27"/>
  <c r="C269" i="27"/>
  <c r="J269" i="27" s="1"/>
  <c r="BZ269" i="27"/>
  <c r="BQ269" i="27"/>
  <c r="BN269" i="27"/>
  <c r="I269" i="27"/>
  <c r="K269" i="27" s="1"/>
  <c r="B269" i="27"/>
  <c r="CI269" i="27"/>
  <c r="BD269" i="27"/>
  <c r="G269" i="27"/>
  <c r="BK269" i="27"/>
  <c r="CE269" i="27"/>
  <c r="CL269" i="27" l="1"/>
  <c r="BE269" i="27"/>
  <c r="AL269" i="27"/>
  <c r="CA269" i="27"/>
  <c r="E269" i="27"/>
  <c r="AM269" i="27" s="1"/>
  <c r="AK269" i="27"/>
  <c r="BB268" i="27"/>
  <c r="AN268" i="27"/>
  <c r="BY269" i="27"/>
  <c r="L269" i="27"/>
  <c r="BV268" i="27"/>
  <c r="AO268" i="27"/>
  <c r="CO268" i="27"/>
  <c r="C270" i="27"/>
  <c r="J270" i="27" s="1"/>
  <c r="BD270" i="27"/>
  <c r="CD270" i="27"/>
  <c r="CK270" i="27"/>
  <c r="CG270" i="27"/>
  <c r="CN270" i="27"/>
  <c r="CI270" i="27"/>
  <c r="G270" i="27"/>
  <c r="H270" i="27"/>
  <c r="CF270" i="27"/>
  <c r="CC270" i="27"/>
  <c r="BC270" i="27"/>
  <c r="BH270" i="27" s="1"/>
  <c r="BK270" i="27"/>
  <c r="B270" i="27"/>
  <c r="BN270" i="27"/>
  <c r="CE270" i="27"/>
  <c r="BA270" i="27"/>
  <c r="CJ270" i="27"/>
  <c r="BQ270" i="27"/>
  <c r="AP270" i="27"/>
  <c r="BZ270" i="27"/>
  <c r="I270" i="27"/>
  <c r="K270" i="27" s="1"/>
  <c r="CB270" i="27"/>
  <c r="D271" i="27"/>
  <c r="A269" i="27"/>
  <c r="CR269" i="27"/>
  <c r="CT269" i="27"/>
  <c r="CP269" i="27"/>
  <c r="CH269" i="27"/>
  <c r="BL269" i="27"/>
  <c r="BM269" i="27" s="1"/>
  <c r="CS269" i="27"/>
  <c r="CQ269" i="27"/>
  <c r="CM269" i="27"/>
  <c r="BI269" i="27"/>
  <c r="BJ269" i="27"/>
  <c r="AR269" i="27"/>
  <c r="AY269" i="27"/>
  <c r="AT269" i="27"/>
  <c r="AV269" i="27"/>
  <c r="AQ269" i="27"/>
  <c r="AX269" i="27"/>
  <c r="AZ269" i="27"/>
  <c r="AW269" i="27"/>
  <c r="AS269" i="27"/>
  <c r="AU269" i="27"/>
  <c r="CA270" i="27" l="1"/>
  <c r="BE270" i="27"/>
  <c r="E270" i="27"/>
  <c r="AM270" i="27" s="1"/>
  <c r="BB269" i="27"/>
  <c r="AN269" i="27"/>
  <c r="AK270" i="27"/>
  <c r="CL270" i="27"/>
  <c r="AL270" i="27"/>
  <c r="BY270" i="27"/>
  <c r="AZ270" i="27"/>
  <c r="AR270" i="27"/>
  <c r="AX270" i="27"/>
  <c r="AT270" i="27"/>
  <c r="AY270" i="27"/>
  <c r="AQ270" i="27"/>
  <c r="AU270" i="27"/>
  <c r="AW270" i="27"/>
  <c r="AV270" i="27"/>
  <c r="AS270" i="27"/>
  <c r="L270" i="27"/>
  <c r="BV269" i="27"/>
  <c r="CO269" i="27"/>
  <c r="AO269" i="27"/>
  <c r="CR270" i="27"/>
  <c r="A270" i="27"/>
  <c r="BJ270" i="27"/>
  <c r="BI270" i="27"/>
  <c r="BL270" i="27"/>
  <c r="BM270" i="27" s="1"/>
  <c r="CT270" i="27"/>
  <c r="CQ270" i="27"/>
  <c r="CP270" i="27"/>
  <c r="CH270" i="27"/>
  <c r="CS270" i="27"/>
  <c r="CM270" i="27"/>
  <c r="BD271" i="27"/>
  <c r="CB271" i="27"/>
  <c r="D272" i="27"/>
  <c r="BC271" i="27"/>
  <c r="BH271" i="27" s="1"/>
  <c r="AP271" i="27"/>
  <c r="BZ271" i="27"/>
  <c r="BQ271" i="27"/>
  <c r="CN271" i="27"/>
  <c r="BK271" i="27"/>
  <c r="H271" i="27"/>
  <c r="C271" i="27"/>
  <c r="J271" i="27" s="1"/>
  <c r="I271" i="27"/>
  <c r="K271" i="27" s="1"/>
  <c r="CK271" i="27"/>
  <c r="CG271" i="27"/>
  <c r="CI271" i="27"/>
  <c r="CC271" i="27"/>
  <c r="CF271" i="27"/>
  <c r="CE271" i="27"/>
  <c r="CD271" i="27"/>
  <c r="G271" i="27"/>
  <c r="BA271" i="27"/>
  <c r="B271" i="27"/>
  <c r="BN271" i="27"/>
  <c r="CJ271" i="27"/>
  <c r="CL271" i="27" l="1"/>
  <c r="BE271" i="27"/>
  <c r="AK271" i="27"/>
  <c r="E271" i="27"/>
  <c r="AM271" i="27" s="1"/>
  <c r="CA271" i="27"/>
  <c r="BB270" i="27"/>
  <c r="AN270" i="27"/>
  <c r="BY271" i="27"/>
  <c r="AL271" i="27"/>
  <c r="CO270" i="27"/>
  <c r="AO270" i="27"/>
  <c r="BV270" i="27"/>
  <c r="CQ271" i="27"/>
  <c r="BI271" i="27"/>
  <c r="CP271" i="27"/>
  <c r="CH271" i="27"/>
  <c r="CR271" i="27"/>
  <c r="BL271" i="27"/>
  <c r="BM271" i="27" s="1"/>
  <c r="BJ271" i="27"/>
  <c r="CT271" i="27"/>
  <c r="A271" i="27"/>
  <c r="CS271" i="27"/>
  <c r="CM271" i="27"/>
  <c r="AU271" i="27"/>
  <c r="AQ271" i="27"/>
  <c r="AT271" i="27"/>
  <c r="AW271" i="27"/>
  <c r="AS271" i="27"/>
  <c r="AZ271" i="27"/>
  <c r="AR271" i="27"/>
  <c r="AX271" i="27"/>
  <c r="AY271" i="27"/>
  <c r="AV271" i="27"/>
  <c r="BC272" i="27"/>
  <c r="BH272" i="27" s="1"/>
  <c r="BK272" i="27"/>
  <c r="CN272" i="27"/>
  <c r="BA272" i="27"/>
  <c r="CD272" i="27"/>
  <c r="G272" i="27"/>
  <c r="BZ272" i="27"/>
  <c r="D273" i="27"/>
  <c r="BN272" i="27"/>
  <c r="CJ272" i="27"/>
  <c r="AP272" i="27"/>
  <c r="I272" i="27"/>
  <c r="K272" i="27" s="1"/>
  <c r="BD272" i="27"/>
  <c r="CB272" i="27"/>
  <c r="CG272" i="27"/>
  <c r="CF272" i="27"/>
  <c r="CE272" i="27"/>
  <c r="H272" i="27"/>
  <c r="CK272" i="27"/>
  <c r="BQ272" i="27"/>
  <c r="B272" i="27"/>
  <c r="CI272" i="27"/>
  <c r="CC272" i="27"/>
  <c r="C272" i="27"/>
  <c r="J272" i="27" s="1"/>
  <c r="L271" i="27"/>
  <c r="CA272" i="27" l="1"/>
  <c r="BE272" i="27"/>
  <c r="E272" i="27"/>
  <c r="AM272" i="27" s="1"/>
  <c r="CL272" i="27"/>
  <c r="BB271" i="27"/>
  <c r="AN271" i="27"/>
  <c r="BY272" i="27"/>
  <c r="AL272" i="27"/>
  <c r="AK272" i="27"/>
  <c r="L272" i="27"/>
  <c r="AT272" i="27"/>
  <c r="AZ272" i="27"/>
  <c r="AS272" i="27"/>
  <c r="AY272" i="27"/>
  <c r="AW272" i="27"/>
  <c r="AQ272" i="27"/>
  <c r="AX272" i="27"/>
  <c r="AR272" i="27"/>
  <c r="AU272" i="27"/>
  <c r="AV272" i="27"/>
  <c r="BI272" i="27"/>
  <c r="BJ272" i="27"/>
  <c r="CR272" i="27"/>
  <c r="CS272" i="27"/>
  <c r="BL272" i="27"/>
  <c r="BM272" i="27" s="1"/>
  <c r="CM272" i="27"/>
  <c r="A272" i="27"/>
  <c r="CT272" i="27"/>
  <c r="CP272" i="27"/>
  <c r="CH272" i="27"/>
  <c r="CQ272" i="27"/>
  <c r="CO271" i="27"/>
  <c r="AO271" i="27"/>
  <c r="BV271" i="27"/>
  <c r="I273" i="27"/>
  <c r="K273" i="27" s="1"/>
  <c r="CC273" i="27"/>
  <c r="BZ273" i="27"/>
  <c r="CI273" i="27"/>
  <c r="CB273" i="27"/>
  <c r="BC273" i="27"/>
  <c r="BH273" i="27" s="1"/>
  <c r="C273" i="27"/>
  <c r="J273" i="27" s="1"/>
  <c r="CG273" i="27"/>
  <c r="CE273" i="27"/>
  <c r="CN273" i="27"/>
  <c r="CD273" i="27"/>
  <c r="G273" i="27"/>
  <c r="BK273" i="27"/>
  <c r="AP273" i="27"/>
  <c r="BA273" i="27"/>
  <c r="CF273" i="27"/>
  <c r="BN273" i="27"/>
  <c r="CJ273" i="27"/>
  <c r="B273" i="27"/>
  <c r="BD273" i="27"/>
  <c r="H273" i="27"/>
  <c r="BQ273" i="27"/>
  <c r="CK273" i="27"/>
  <c r="D274" i="27"/>
  <c r="CA273" i="27" l="1"/>
  <c r="BE273" i="27"/>
  <c r="AK273" i="27"/>
  <c r="AL273" i="27"/>
  <c r="BY273" i="27"/>
  <c r="CL273" i="27"/>
  <c r="BB272" i="27"/>
  <c r="AN272" i="27"/>
  <c r="E273" i="27"/>
  <c r="AM273" i="27" s="1"/>
  <c r="BQ274" i="27"/>
  <c r="H274" i="27"/>
  <c r="BA274" i="27"/>
  <c r="CJ274" i="27"/>
  <c r="BZ274" i="27"/>
  <c r="CG274" i="27"/>
  <c r="CK274" i="27"/>
  <c r="CE274" i="27"/>
  <c r="I274" i="27"/>
  <c r="K274" i="27" s="1"/>
  <c r="CC274" i="27"/>
  <c r="G274" i="27"/>
  <c r="B274" i="27"/>
  <c r="BE274" i="27" s="1"/>
  <c r="BC274" i="27"/>
  <c r="BH274" i="27" s="1"/>
  <c r="D275" i="27"/>
  <c r="CN274" i="27"/>
  <c r="CD274" i="27"/>
  <c r="C274" i="27"/>
  <c r="J274" i="27" s="1"/>
  <c r="CF274" i="27"/>
  <c r="BN274" i="27"/>
  <c r="CI274" i="27"/>
  <c r="CB274" i="27"/>
  <c r="AP274" i="27"/>
  <c r="BD274" i="27"/>
  <c r="BK274" i="27"/>
  <c r="AT273" i="27"/>
  <c r="AW273" i="27"/>
  <c r="AZ273" i="27"/>
  <c r="AS273" i="27"/>
  <c r="AR273" i="27"/>
  <c r="AX273" i="27"/>
  <c r="AY273" i="27"/>
  <c r="AQ273" i="27"/>
  <c r="AU273" i="27"/>
  <c r="AV273" i="27"/>
  <c r="L273" i="27"/>
  <c r="BV272" i="27"/>
  <c r="CO272" i="27"/>
  <c r="AO272" i="27"/>
  <c r="CH273" i="27"/>
  <c r="BJ273" i="27"/>
  <c r="A273" i="27"/>
  <c r="CM273" i="27"/>
  <c r="BI273" i="27"/>
  <c r="CP273" i="27"/>
  <c r="CT273" i="27"/>
  <c r="CQ273" i="27"/>
  <c r="CS273" i="27"/>
  <c r="CR273" i="27"/>
  <c r="BL273" i="27"/>
  <c r="BM273" i="27" s="1"/>
  <c r="E274" i="27" l="1"/>
  <c r="AM274" i="27" s="1"/>
  <c r="CA274" i="27"/>
  <c r="BY274" i="27"/>
  <c r="CL274" i="27"/>
  <c r="BB273" i="27"/>
  <c r="AN273" i="27"/>
  <c r="AL274" i="27"/>
  <c r="AK274" i="27"/>
  <c r="L274" i="27"/>
  <c r="BL274" i="27"/>
  <c r="BM274" i="27" s="1"/>
  <c r="BJ274" i="27"/>
  <c r="BI274" i="27"/>
  <c r="CR274" i="27"/>
  <c r="CP274" i="27"/>
  <c r="A274" i="27"/>
  <c r="CM274" i="27"/>
  <c r="CH274" i="27"/>
  <c r="CQ274" i="27"/>
  <c r="CT274" i="27"/>
  <c r="CS274" i="27"/>
  <c r="CF275" i="27"/>
  <c r="BN275" i="27"/>
  <c r="G275" i="27"/>
  <c r="CI275" i="27"/>
  <c r="BC275" i="27"/>
  <c r="BH275" i="27" s="1"/>
  <c r="D276" i="27"/>
  <c r="AP275" i="27"/>
  <c r="BD275" i="27"/>
  <c r="BK275" i="27"/>
  <c r="BZ275" i="27"/>
  <c r="CE275" i="27"/>
  <c r="C275" i="27"/>
  <c r="J275" i="27" s="1"/>
  <c r="BQ275" i="27"/>
  <c r="H275" i="27"/>
  <c r="BA275" i="27"/>
  <c r="CD275" i="27"/>
  <c r="CG275" i="27"/>
  <c r="CJ275" i="27"/>
  <c r="CC275" i="27"/>
  <c r="I275" i="27"/>
  <c r="K275" i="27" s="1"/>
  <c r="CB275" i="27"/>
  <c r="B275" i="27"/>
  <c r="BE275" i="27" s="1"/>
  <c r="CN275" i="27"/>
  <c r="CK275" i="27"/>
  <c r="AZ274" i="27"/>
  <c r="AQ274" i="27"/>
  <c r="AR274" i="27"/>
  <c r="AX274" i="27"/>
  <c r="AW274" i="27"/>
  <c r="AY274" i="27"/>
  <c r="AV274" i="27"/>
  <c r="AT274" i="27"/>
  <c r="AU274" i="27"/>
  <c r="AS274" i="27"/>
  <c r="CO273" i="27"/>
  <c r="BV273" i="27"/>
  <c r="AO273" i="27"/>
  <c r="AL275" i="27" l="1"/>
  <c r="CL275" i="27"/>
  <c r="AK275" i="27"/>
  <c r="CA275" i="27"/>
  <c r="E275" i="27"/>
  <c r="AM275" i="27" s="1"/>
  <c r="BB274" i="27"/>
  <c r="AN274" i="27"/>
  <c r="BY275" i="27"/>
  <c r="CR275" i="27"/>
  <c r="BL275" i="27"/>
  <c r="BM275" i="27" s="1"/>
  <c r="CP275" i="27"/>
  <c r="CH275" i="27"/>
  <c r="CS275" i="27"/>
  <c r="BJ275" i="27"/>
  <c r="CQ275" i="27"/>
  <c r="BI275" i="27"/>
  <c r="CM275" i="27"/>
  <c r="CT275" i="27"/>
  <c r="A275" i="27"/>
  <c r="L275" i="27"/>
  <c r="BV274" i="27"/>
  <c r="AO274" i="27"/>
  <c r="CO274" i="27"/>
  <c r="AQ275" i="27"/>
  <c r="AX275" i="27"/>
  <c r="AT275" i="27"/>
  <c r="AZ275" i="27"/>
  <c r="AW275" i="27"/>
  <c r="AV275" i="27"/>
  <c r="AU275" i="27"/>
  <c r="AR275" i="27"/>
  <c r="AY275" i="27"/>
  <c r="AS275" i="27"/>
  <c r="BZ276" i="27"/>
  <c r="CE276" i="27"/>
  <c r="BN276" i="27"/>
  <c r="C276" i="27"/>
  <c r="J276" i="27" s="1"/>
  <c r="H276" i="27"/>
  <c r="CJ276" i="27"/>
  <c r="BD276" i="27"/>
  <c r="BK276" i="27"/>
  <c r="CK276" i="27"/>
  <c r="BQ276" i="27"/>
  <c r="I276" i="27"/>
  <c r="K276" i="27" s="1"/>
  <c r="CD276" i="27"/>
  <c r="CC276" i="27"/>
  <c r="BC276" i="27"/>
  <c r="BH276" i="27" s="1"/>
  <c r="CI276" i="27"/>
  <c r="CG276" i="27"/>
  <c r="BA276" i="27"/>
  <c r="CB276" i="27"/>
  <c r="CF276" i="27"/>
  <c r="D277" i="27"/>
  <c r="AP276" i="27"/>
  <c r="G276" i="27"/>
  <c r="B276" i="27"/>
  <c r="CN276" i="27"/>
  <c r="AK276" i="27" l="1"/>
  <c r="CA276" i="27"/>
  <c r="BE276" i="27"/>
  <c r="AL276" i="27"/>
  <c r="BY276" i="27"/>
  <c r="BB275" i="27"/>
  <c r="AN275" i="27"/>
  <c r="E276" i="27"/>
  <c r="AM276" i="27" s="1"/>
  <c r="CL276" i="27"/>
  <c r="L276" i="27"/>
  <c r="AS276" i="27"/>
  <c r="AV276" i="27"/>
  <c r="AZ276" i="27"/>
  <c r="AT276" i="27"/>
  <c r="AR276" i="27"/>
  <c r="AY276" i="27"/>
  <c r="AQ276" i="27"/>
  <c r="AW276" i="27"/>
  <c r="AU276" i="27"/>
  <c r="AX276" i="27"/>
  <c r="CJ277" i="27"/>
  <c r="CF277" i="27"/>
  <c r="BQ277" i="27"/>
  <c r="CB277" i="27"/>
  <c r="D278" i="27"/>
  <c r="AP277" i="27"/>
  <c r="I277" i="27"/>
  <c r="K277" i="27" s="1"/>
  <c r="CC277" i="27"/>
  <c r="BZ277" i="27"/>
  <c r="G277" i="27"/>
  <c r="CE277" i="27"/>
  <c r="C277" i="27"/>
  <c r="J277" i="27" s="1"/>
  <c r="CD277" i="27"/>
  <c r="CG277" i="27"/>
  <c r="BN277" i="27"/>
  <c r="BC277" i="27"/>
  <c r="BH277" i="27" s="1"/>
  <c r="CI277" i="27"/>
  <c r="BD277" i="27"/>
  <c r="B277" i="27"/>
  <c r="BA277" i="27"/>
  <c r="CN277" i="27"/>
  <c r="H277" i="27"/>
  <c r="CK277" i="27"/>
  <c r="BK277" i="27"/>
  <c r="CO275" i="27"/>
  <c r="BV275" i="27"/>
  <c r="AO275" i="27"/>
  <c r="BJ276" i="27"/>
  <c r="BI276" i="27"/>
  <c r="CP276" i="27"/>
  <c r="A276" i="27"/>
  <c r="CQ276" i="27"/>
  <c r="CM276" i="27"/>
  <c r="CS276" i="27"/>
  <c r="CT276" i="27"/>
  <c r="BL276" i="27"/>
  <c r="BM276" i="27" s="1"/>
  <c r="CH276" i="27"/>
  <c r="CR276" i="27"/>
  <c r="CL277" i="27" l="1"/>
  <c r="BE277" i="27"/>
  <c r="E277" i="27"/>
  <c r="AM277" i="27" s="1"/>
  <c r="BY277" i="27"/>
  <c r="AK277" i="27"/>
  <c r="CA277" i="27"/>
  <c r="BB276" i="27"/>
  <c r="AN276" i="27"/>
  <c r="AL277" i="27"/>
  <c r="C278" i="27"/>
  <c r="J278" i="27" s="1"/>
  <c r="BN278" i="27"/>
  <c r="CC278" i="27"/>
  <c r="BD278" i="27"/>
  <c r="BC278" i="27"/>
  <c r="BH278" i="27" s="1"/>
  <c r="B278" i="27"/>
  <c r="CF278" i="27"/>
  <c r="CK278" i="27"/>
  <c r="BK278" i="27"/>
  <c r="G278" i="27"/>
  <c r="BA278" i="27"/>
  <c r="AP278" i="27"/>
  <c r="CJ278" i="27"/>
  <c r="BQ278" i="27"/>
  <c r="CD278" i="27"/>
  <c r="CG278" i="27"/>
  <c r="CE278" i="27"/>
  <c r="H278" i="27"/>
  <c r="CB278" i="27"/>
  <c r="D279" i="27"/>
  <c r="CI278" i="27"/>
  <c r="BZ278" i="27"/>
  <c r="I278" i="27"/>
  <c r="K278" i="27" s="1"/>
  <c r="CN278" i="27"/>
  <c r="AZ277" i="27"/>
  <c r="AY277" i="27"/>
  <c r="AQ277" i="27"/>
  <c r="AV277" i="27"/>
  <c r="AX277" i="27"/>
  <c r="AR277" i="27"/>
  <c r="AT277" i="27"/>
  <c r="AW277" i="27"/>
  <c r="AS277" i="27"/>
  <c r="AU277" i="27"/>
  <c r="CR277" i="27"/>
  <c r="CT277" i="27"/>
  <c r="CQ277" i="27"/>
  <c r="CM277" i="27"/>
  <c r="CS277" i="27"/>
  <c r="CP277" i="27"/>
  <c r="CH277" i="27"/>
  <c r="BJ277" i="27"/>
  <c r="BL277" i="27"/>
  <c r="BM277" i="27" s="1"/>
  <c r="BI277" i="27"/>
  <c r="A277" i="27"/>
  <c r="L277" i="27"/>
  <c r="CO276" i="27"/>
  <c r="BV276" i="27"/>
  <c r="AO276" i="27"/>
  <c r="CL278" i="27" l="1"/>
  <c r="BE278" i="27"/>
  <c r="AL278" i="27"/>
  <c r="AK278" i="27"/>
  <c r="E278" i="27"/>
  <c r="AM278" i="27" s="1"/>
  <c r="L278" i="27"/>
  <c r="BY278" i="27"/>
  <c r="CA278" i="27"/>
  <c r="BB277" i="27"/>
  <c r="AN277" i="27"/>
  <c r="AY278" i="27"/>
  <c r="AU278" i="27"/>
  <c r="AV278" i="27"/>
  <c r="AR278" i="27"/>
  <c r="AQ278" i="27"/>
  <c r="AZ278" i="27"/>
  <c r="AW278" i="27"/>
  <c r="AX278" i="27"/>
  <c r="AT278" i="27"/>
  <c r="AS278" i="27"/>
  <c r="CO277" i="27"/>
  <c r="BV277" i="27"/>
  <c r="AO277" i="27"/>
  <c r="H279" i="27"/>
  <c r="C279" i="27"/>
  <c r="J279" i="27" s="1"/>
  <c r="CN279" i="27"/>
  <c r="CD279" i="27"/>
  <c r="BA279" i="27"/>
  <c r="CJ279" i="27"/>
  <c r="CB279" i="27"/>
  <c r="CK279" i="27"/>
  <c r="CI279" i="27"/>
  <c r="CG279" i="27"/>
  <c r="BN279" i="27"/>
  <c r="BQ279" i="27"/>
  <c r="BD279" i="27"/>
  <c r="CC279" i="27"/>
  <c r="CF279" i="27"/>
  <c r="CE279" i="27"/>
  <c r="BK279" i="27"/>
  <c r="AP279" i="27"/>
  <c r="D280" i="27"/>
  <c r="BZ279" i="27"/>
  <c r="BC279" i="27"/>
  <c r="BH279" i="27" s="1"/>
  <c r="G279" i="27"/>
  <c r="I279" i="27"/>
  <c r="K279" i="27" s="1"/>
  <c r="B279" i="27"/>
  <c r="BL278" i="27"/>
  <c r="BM278" i="27" s="1"/>
  <c r="CT278" i="27"/>
  <c r="CQ278" i="27"/>
  <c r="CS278" i="27"/>
  <c r="CH278" i="27"/>
  <c r="BJ278" i="27"/>
  <c r="CP278" i="27"/>
  <c r="A278" i="27"/>
  <c r="CM278" i="27"/>
  <c r="CR278" i="27"/>
  <c r="BI278" i="27"/>
  <c r="E279" i="27" l="1"/>
  <c r="AM279" i="27" s="1"/>
  <c r="BE279" i="27"/>
  <c r="AL279" i="27"/>
  <c r="AK279" i="27"/>
  <c r="BY279" i="27"/>
  <c r="CL279" i="27"/>
  <c r="CA279" i="27"/>
  <c r="BB278" i="27"/>
  <c r="AN278" i="27"/>
  <c r="BJ279" i="27"/>
  <c r="CS279" i="27"/>
  <c r="BI279" i="27"/>
  <c r="CR279" i="27"/>
  <c r="CM279" i="27"/>
  <c r="CP279" i="27"/>
  <c r="BL279" i="27"/>
  <c r="BM279" i="27" s="1"/>
  <c r="CQ279" i="27"/>
  <c r="A279" i="27"/>
  <c r="CH279" i="27"/>
  <c r="CT279" i="27"/>
  <c r="BV278" i="27"/>
  <c r="CO278" i="27"/>
  <c r="AO278" i="27"/>
  <c r="AX279" i="27"/>
  <c r="AR279" i="27"/>
  <c r="AQ279" i="27"/>
  <c r="AT279" i="27"/>
  <c r="AV279" i="27"/>
  <c r="AY279" i="27"/>
  <c r="AU279" i="27"/>
  <c r="AW279" i="27"/>
  <c r="AS279" i="27"/>
  <c r="AZ279" i="27"/>
  <c r="CI280" i="27"/>
  <c r="I280" i="27"/>
  <c r="K280" i="27" s="1"/>
  <c r="BC280" i="27"/>
  <c r="BH280" i="27" s="1"/>
  <c r="BK280" i="27"/>
  <c r="CF280" i="27"/>
  <c r="CN280" i="27"/>
  <c r="CD280" i="27"/>
  <c r="G280" i="27"/>
  <c r="BA280" i="27"/>
  <c r="AP280" i="27"/>
  <c r="CC280" i="27"/>
  <c r="D281" i="27"/>
  <c r="BN280" i="27"/>
  <c r="CJ280" i="27"/>
  <c r="BD280" i="27"/>
  <c r="CB280" i="27"/>
  <c r="CG280" i="27"/>
  <c r="C280" i="27"/>
  <c r="J280" i="27" s="1"/>
  <c r="CE280" i="27"/>
  <c r="H280" i="27"/>
  <c r="B280" i="27"/>
  <c r="BQ280" i="27"/>
  <c r="CK280" i="27"/>
  <c r="BZ280" i="27"/>
  <c r="L279" i="27"/>
  <c r="CL280" i="27" l="1"/>
  <c r="BE280" i="27"/>
  <c r="AK280" i="27"/>
  <c r="CA280" i="27"/>
  <c r="E280" i="27"/>
  <c r="AM280" i="27" s="1"/>
  <c r="BB279" i="27"/>
  <c r="AN279" i="27"/>
  <c r="BY280" i="27"/>
  <c r="AL280" i="27"/>
  <c r="CI281" i="27"/>
  <c r="BQ281" i="27"/>
  <c r="CN281" i="27"/>
  <c r="CF281" i="27"/>
  <c r="CJ281" i="27"/>
  <c r="C281" i="27"/>
  <c r="J281" i="27" s="1"/>
  <c r="CE281" i="27"/>
  <c r="CK281" i="27"/>
  <c r="BK281" i="27"/>
  <c r="B281" i="27"/>
  <c r="CC281" i="27"/>
  <c r="BA281" i="27"/>
  <c r="I281" i="27"/>
  <c r="K281" i="27" s="1"/>
  <c r="CG281" i="27"/>
  <c r="D282" i="27"/>
  <c r="BZ281" i="27"/>
  <c r="BC281" i="27"/>
  <c r="BH281" i="27" s="1"/>
  <c r="CD281" i="27"/>
  <c r="BD281" i="27"/>
  <c r="G281" i="27"/>
  <c r="H281" i="27"/>
  <c r="CB281" i="27"/>
  <c r="BN281" i="27"/>
  <c r="AP281" i="27"/>
  <c r="CT280" i="27"/>
  <c r="CQ280" i="27"/>
  <c r="CP280" i="27"/>
  <c r="CH280" i="27"/>
  <c r="CM280" i="27"/>
  <c r="BL280" i="27"/>
  <c r="BM280" i="27" s="1"/>
  <c r="BI280" i="27"/>
  <c r="A280" i="27"/>
  <c r="CS280" i="27"/>
  <c r="BJ280" i="27"/>
  <c r="CR280" i="27"/>
  <c r="AQ280" i="27"/>
  <c r="AR280" i="27"/>
  <c r="AX280" i="27"/>
  <c r="AT280" i="27"/>
  <c r="AS280" i="27"/>
  <c r="AW280" i="27"/>
  <c r="AZ280" i="27"/>
  <c r="AV280" i="27"/>
  <c r="AU280" i="27"/>
  <c r="AY280" i="27"/>
  <c r="L280" i="27"/>
  <c r="AO279" i="27"/>
  <c r="CO279" i="27"/>
  <c r="BV279" i="27"/>
  <c r="CA281" i="27" l="1"/>
  <c r="BE281" i="27"/>
  <c r="AL281" i="27"/>
  <c r="CL281" i="27"/>
  <c r="AK281" i="27"/>
  <c r="BY281" i="27"/>
  <c r="BB280" i="27"/>
  <c r="AN280" i="27"/>
  <c r="E281" i="27"/>
  <c r="AM281" i="27" s="1"/>
  <c r="AO280" i="27"/>
  <c r="BV280" i="27"/>
  <c r="CO280" i="27"/>
  <c r="AV281" i="27"/>
  <c r="AS281" i="27"/>
  <c r="AY281" i="27"/>
  <c r="AU281" i="27"/>
  <c r="AT281" i="27"/>
  <c r="AQ281" i="27"/>
  <c r="AW281" i="27"/>
  <c r="AZ281" i="27"/>
  <c r="AR281" i="27"/>
  <c r="AX281" i="27"/>
  <c r="CC282" i="27"/>
  <c r="CE282" i="27"/>
  <c r="I282" i="27"/>
  <c r="K282" i="27" s="1"/>
  <c r="CN282" i="27"/>
  <c r="AP282" i="27"/>
  <c r="BC282" i="27"/>
  <c r="BH282" i="27" s="1"/>
  <c r="BK282" i="27"/>
  <c r="C282" i="27"/>
  <c r="J282" i="27" s="1"/>
  <c r="CD282" i="27"/>
  <c r="G282" i="27"/>
  <c r="BZ282" i="27"/>
  <c r="CB282" i="27"/>
  <c r="BA282" i="27"/>
  <c r="BN282" i="27"/>
  <c r="CJ282" i="27"/>
  <c r="AK282" i="27"/>
  <c r="B282" i="27"/>
  <c r="BD282" i="27"/>
  <c r="CF282" i="27"/>
  <c r="BQ282" i="27"/>
  <c r="H282" i="27"/>
  <c r="CK282" i="27"/>
  <c r="CI282" i="27"/>
  <c r="D283" i="27"/>
  <c r="CG282" i="27"/>
  <c r="CH281" i="27"/>
  <c r="CM281" i="27"/>
  <c r="BI281" i="27"/>
  <c r="BL281" i="27"/>
  <c r="BM281" i="27" s="1"/>
  <c r="BJ281" i="27"/>
  <c r="CR281" i="27"/>
  <c r="CQ281" i="27"/>
  <c r="CS281" i="27"/>
  <c r="CT281" i="27"/>
  <c r="A281" i="27"/>
  <c r="CP281" i="27"/>
  <c r="L281" i="27"/>
  <c r="E282" i="27" l="1"/>
  <c r="AM282" i="27" s="1"/>
  <c r="BE282" i="27"/>
  <c r="BY282" i="27"/>
  <c r="BB281" i="27"/>
  <c r="AN281" i="27"/>
  <c r="CA282" i="27"/>
  <c r="CL282" i="27"/>
  <c r="AL282" i="27"/>
  <c r="AO281" i="27"/>
  <c r="BV281" i="27"/>
  <c r="CO281" i="27"/>
  <c r="AV282" i="27"/>
  <c r="AQ282" i="27"/>
  <c r="AU282" i="27"/>
  <c r="AZ282" i="27"/>
  <c r="AX282" i="27"/>
  <c r="AT282" i="27"/>
  <c r="AS282" i="27"/>
  <c r="AY282" i="27"/>
  <c r="AW282" i="27"/>
  <c r="AR282" i="27"/>
  <c r="CE283" i="27"/>
  <c r="C283" i="27"/>
  <c r="J283" i="27" s="1"/>
  <c r="BQ283" i="27"/>
  <c r="H283" i="27"/>
  <c r="BZ283" i="27"/>
  <c r="B283" i="27"/>
  <c r="CK283" i="27"/>
  <c r="CG283" i="27"/>
  <c r="BK283" i="27"/>
  <c r="I283" i="27"/>
  <c r="K283" i="27" s="1"/>
  <c r="CC283" i="27"/>
  <c r="AP283" i="27"/>
  <c r="CI283" i="27"/>
  <c r="CD283" i="27"/>
  <c r="G283" i="27"/>
  <c r="CF283" i="27"/>
  <c r="CN283" i="27"/>
  <c r="BN283" i="27"/>
  <c r="CJ283" i="27"/>
  <c r="D284" i="27"/>
  <c r="BD283" i="27"/>
  <c r="CB283" i="27"/>
  <c r="BA283" i="27"/>
  <c r="BC283" i="27"/>
  <c r="BH283" i="27" s="1"/>
  <c r="BL282" i="27"/>
  <c r="BM282" i="27" s="1"/>
  <c r="CQ282" i="27"/>
  <c r="A282" i="27"/>
  <c r="CP282" i="27"/>
  <c r="BJ282" i="27"/>
  <c r="CT282" i="27"/>
  <c r="CH282" i="27"/>
  <c r="CS282" i="27"/>
  <c r="CM282" i="27"/>
  <c r="CR282" i="27"/>
  <c r="BI282" i="27"/>
  <c r="L282" i="27"/>
  <c r="AK283" i="27" l="1"/>
  <c r="CL283" i="27"/>
  <c r="BE283" i="27"/>
  <c r="E283" i="27"/>
  <c r="AM283" i="27" s="1"/>
  <c r="AL283" i="27"/>
  <c r="CA283" i="27"/>
  <c r="BY283" i="27"/>
  <c r="BB282" i="27"/>
  <c r="AN282" i="27"/>
  <c r="L283" i="27"/>
  <c r="BI283" i="27"/>
  <c r="A283" i="27"/>
  <c r="CS283" i="27"/>
  <c r="CQ283" i="27"/>
  <c r="CT283" i="27"/>
  <c r="CM283" i="27"/>
  <c r="CP283" i="27"/>
  <c r="CH283" i="27"/>
  <c r="CR283" i="27"/>
  <c r="BL283" i="27"/>
  <c r="BM283" i="27" s="1"/>
  <c r="BJ283" i="27"/>
  <c r="AO282" i="27"/>
  <c r="BV282" i="27"/>
  <c r="CO282" i="27"/>
  <c r="CK284" i="27"/>
  <c r="BA284" i="27"/>
  <c r="I284" i="27"/>
  <c r="K284" i="27" s="1"/>
  <c r="BD284" i="27"/>
  <c r="BC284" i="27"/>
  <c r="BH284" i="27" s="1"/>
  <c r="CB284" i="27"/>
  <c r="CI284" i="27"/>
  <c r="CN284" i="27"/>
  <c r="CD284" i="27"/>
  <c r="G284" i="27"/>
  <c r="CF284" i="27"/>
  <c r="BN284" i="27"/>
  <c r="B284" i="27"/>
  <c r="BE284" i="27" s="1"/>
  <c r="D285" i="27"/>
  <c r="CE284" i="27"/>
  <c r="C284" i="27"/>
  <c r="J284" i="27" s="1"/>
  <c r="CJ284" i="27"/>
  <c r="BQ284" i="27"/>
  <c r="H284" i="27"/>
  <c r="CG284" i="27"/>
  <c r="CC284" i="27"/>
  <c r="BK284" i="27"/>
  <c r="AP284" i="27"/>
  <c r="BZ284" i="27"/>
  <c r="AX283" i="27"/>
  <c r="AS283" i="27"/>
  <c r="AV283" i="27"/>
  <c r="AR283" i="27"/>
  <c r="AU283" i="27"/>
  <c r="AT283" i="27"/>
  <c r="AQ283" i="27"/>
  <c r="AZ283" i="27"/>
  <c r="AW283" i="27"/>
  <c r="AY283" i="27"/>
  <c r="BY284" i="27" l="1"/>
  <c r="E284" i="27"/>
  <c r="AM284" i="27" s="1"/>
  <c r="AK284" i="27"/>
  <c r="AL284" i="27"/>
  <c r="BB283" i="27"/>
  <c r="AN283" i="27"/>
  <c r="CA284" i="27"/>
  <c r="CL284" i="27"/>
  <c r="A284" i="27"/>
  <c r="CQ284" i="27"/>
  <c r="CS284" i="27"/>
  <c r="CM284" i="27"/>
  <c r="BL284" i="27"/>
  <c r="BM284" i="27" s="1"/>
  <c r="CT284" i="27"/>
  <c r="BI284" i="27"/>
  <c r="BJ284" i="27"/>
  <c r="CP284" i="27"/>
  <c r="CH284" i="27"/>
  <c r="CR284" i="27"/>
  <c r="L284" i="27"/>
  <c r="AO283" i="27"/>
  <c r="CO283" i="27"/>
  <c r="BV283" i="27"/>
  <c r="AP285" i="27"/>
  <c r="BD285" i="27"/>
  <c r="G285" i="27"/>
  <c r="CC285" i="27"/>
  <c r="BZ285" i="27"/>
  <c r="CE285" i="27"/>
  <c r="BC285" i="27"/>
  <c r="BH285" i="27" s="1"/>
  <c r="CG285" i="27"/>
  <c r="D286" i="27"/>
  <c r="C285" i="27"/>
  <c r="J285" i="27" s="1"/>
  <c r="BA285" i="27"/>
  <c r="BQ285" i="27"/>
  <c r="H285" i="27"/>
  <c r="CJ285" i="27"/>
  <c r="CI285" i="27"/>
  <c r="BK285" i="27"/>
  <c r="CN285" i="27"/>
  <c r="I285" i="27"/>
  <c r="K285" i="27" s="1"/>
  <c r="CB285" i="27"/>
  <c r="B285" i="27"/>
  <c r="CD285" i="27"/>
  <c r="CF285" i="27"/>
  <c r="BN285" i="27"/>
  <c r="CK285" i="27"/>
  <c r="AR284" i="27"/>
  <c r="AX284" i="27"/>
  <c r="AT284" i="27"/>
  <c r="AW284" i="27"/>
  <c r="AQ284" i="27"/>
  <c r="AZ284" i="27"/>
  <c r="AY284" i="27"/>
  <c r="AS284" i="27"/>
  <c r="AV284" i="27"/>
  <c r="AU284" i="27"/>
  <c r="CL285" i="27" l="1"/>
  <c r="BE285" i="27"/>
  <c r="AL285" i="27"/>
  <c r="BY285" i="27"/>
  <c r="AK285" i="27"/>
  <c r="E285" i="27"/>
  <c r="AM285" i="27" s="1"/>
  <c r="BB284" i="27"/>
  <c r="AN284" i="27"/>
  <c r="CA285" i="27"/>
  <c r="CQ285" i="27"/>
  <c r="CH285" i="27"/>
  <c r="BJ285" i="27"/>
  <c r="CS285" i="27"/>
  <c r="CR285" i="27"/>
  <c r="BI285" i="27"/>
  <c r="A285" i="27"/>
  <c r="BL285" i="27"/>
  <c r="BM285" i="27" s="1"/>
  <c r="CM285" i="27"/>
  <c r="CP285" i="27"/>
  <c r="CT285" i="27"/>
  <c r="BZ286" i="27"/>
  <c r="CE286" i="27"/>
  <c r="CI286" i="27"/>
  <c r="BN286" i="27"/>
  <c r="BQ286" i="27"/>
  <c r="C286" i="27"/>
  <c r="J286" i="27" s="1"/>
  <c r="BC286" i="27"/>
  <c r="BH286" i="27" s="1"/>
  <c r="CD286" i="27"/>
  <c r="CG286" i="27"/>
  <c r="H286" i="27"/>
  <c r="BK286" i="27"/>
  <c r="I286" i="27"/>
  <c r="K286" i="27" s="1"/>
  <c r="CK286" i="27"/>
  <c r="CJ286" i="27"/>
  <c r="BD286" i="27"/>
  <c r="CN286" i="27"/>
  <c r="G286" i="27"/>
  <c r="CF286" i="27"/>
  <c r="CC286" i="27"/>
  <c r="AP286" i="27"/>
  <c r="B286" i="27"/>
  <c r="CB286" i="27"/>
  <c r="D287" i="27"/>
  <c r="BA286" i="27"/>
  <c r="L285" i="27"/>
  <c r="AU285" i="27"/>
  <c r="AY285" i="27"/>
  <c r="AT285" i="27"/>
  <c r="AX285" i="27"/>
  <c r="AQ285" i="27"/>
  <c r="AR285" i="27"/>
  <c r="AV285" i="27"/>
  <c r="AW285" i="27"/>
  <c r="AS285" i="27"/>
  <c r="AZ285" i="27"/>
  <c r="AO284" i="27"/>
  <c r="CO284" i="27"/>
  <c r="BV284" i="27"/>
  <c r="CA286" i="27" l="1"/>
  <c r="BE286" i="27"/>
  <c r="AL286" i="27"/>
  <c r="BY286" i="27"/>
  <c r="AK286" i="27"/>
  <c r="E286" i="27"/>
  <c r="AM286" i="27" s="1"/>
  <c r="BB285" i="27"/>
  <c r="AN285" i="27"/>
  <c r="CL286" i="27"/>
  <c r="CM286" i="27"/>
  <c r="BL286" i="27"/>
  <c r="BM286" i="27" s="1"/>
  <c r="CP286" i="27"/>
  <c r="CT286" i="27"/>
  <c r="CH286" i="27"/>
  <c r="CS286" i="27"/>
  <c r="CR286" i="27"/>
  <c r="BJ286" i="27"/>
  <c r="CQ286" i="27"/>
  <c r="BI286" i="27"/>
  <c r="A286" i="27"/>
  <c r="CO285" i="27"/>
  <c r="AO285" i="27"/>
  <c r="BV285" i="27"/>
  <c r="AY286" i="27"/>
  <c r="AQ286" i="27"/>
  <c r="AX286" i="27"/>
  <c r="AW286" i="27"/>
  <c r="AT286" i="27"/>
  <c r="AR286" i="27"/>
  <c r="AV286" i="27"/>
  <c r="AZ286" i="27"/>
  <c r="AU286" i="27"/>
  <c r="AS286" i="27"/>
  <c r="L286" i="27"/>
  <c r="CB287" i="27"/>
  <c r="CI287" i="27"/>
  <c r="CG287" i="27"/>
  <c r="BC287" i="27"/>
  <c r="BH287" i="27" s="1"/>
  <c r="BK287" i="27"/>
  <c r="B287" i="27"/>
  <c r="CJ287" i="27"/>
  <c r="BQ287" i="27"/>
  <c r="BA287" i="27"/>
  <c r="CN287" i="27"/>
  <c r="BD287" i="27"/>
  <c r="G287" i="27"/>
  <c r="CF287" i="27"/>
  <c r="I287" i="27"/>
  <c r="K287" i="27" s="1"/>
  <c r="C287" i="27"/>
  <c r="J287" i="27" s="1"/>
  <c r="D288" i="27"/>
  <c r="AP287" i="27"/>
  <c r="CE287" i="27"/>
  <c r="CK287" i="27"/>
  <c r="BN287" i="27"/>
  <c r="CD287" i="27"/>
  <c r="BZ287" i="27"/>
  <c r="H287" i="27"/>
  <c r="CC287" i="27"/>
  <c r="E287" i="27" l="1"/>
  <c r="AM287" i="27" s="1"/>
  <c r="BE287" i="27"/>
  <c r="AK287" i="27"/>
  <c r="CA287" i="27"/>
  <c r="CL287" i="27"/>
  <c r="AL287" i="27"/>
  <c r="BB286" i="27"/>
  <c r="AN286" i="27"/>
  <c r="BY287" i="27"/>
  <c r="BL287" i="27"/>
  <c r="BM287" i="27" s="1"/>
  <c r="CH287" i="27"/>
  <c r="BJ287" i="27"/>
  <c r="BI287" i="27"/>
  <c r="CT287" i="27"/>
  <c r="CS287" i="27"/>
  <c r="A287" i="27"/>
  <c r="CQ287" i="27"/>
  <c r="CM287" i="27"/>
  <c r="CP287" i="27"/>
  <c r="CR287" i="27"/>
  <c r="B288" i="27"/>
  <c r="CI288" i="27"/>
  <c r="CG288" i="27"/>
  <c r="H288" i="27"/>
  <c r="AP288" i="27"/>
  <c r="CK288" i="27"/>
  <c r="CN288" i="27"/>
  <c r="BK288" i="27"/>
  <c r="BC288" i="27"/>
  <c r="BH288" i="27" s="1"/>
  <c r="CD288" i="27"/>
  <c r="BA288" i="27"/>
  <c r="CF288" i="27"/>
  <c r="BQ288" i="27"/>
  <c r="CB288" i="27"/>
  <c r="D289" i="27"/>
  <c r="BN288" i="27"/>
  <c r="I288" i="27"/>
  <c r="K288" i="27" s="1"/>
  <c r="BZ288" i="27"/>
  <c r="BD288" i="27"/>
  <c r="CE288" i="27"/>
  <c r="C288" i="27"/>
  <c r="J288" i="27" s="1"/>
  <c r="G288" i="27"/>
  <c r="CC288" i="27"/>
  <c r="CJ288" i="27"/>
  <c r="AQ287" i="27"/>
  <c r="AT287" i="27"/>
  <c r="AX287" i="27"/>
  <c r="AV287" i="27"/>
  <c r="AW287" i="27"/>
  <c r="AZ287" i="27"/>
  <c r="AR287" i="27"/>
  <c r="AY287" i="27"/>
  <c r="AU287" i="27"/>
  <c r="AS287" i="27"/>
  <c r="CO286" i="27"/>
  <c r="BV286" i="27"/>
  <c r="AO286" i="27"/>
  <c r="L287" i="27"/>
  <c r="AK288" i="27" l="1"/>
  <c r="CA288" i="27"/>
  <c r="BE288" i="27"/>
  <c r="E288" i="27"/>
  <c r="AM288" i="27" s="1"/>
  <c r="BB287" i="27"/>
  <c r="AN287" i="27"/>
  <c r="CL288" i="27"/>
  <c r="BY288" i="27"/>
  <c r="AL288" i="27"/>
  <c r="CK289" i="27"/>
  <c r="CI289" i="27"/>
  <c r="CE289" i="27"/>
  <c r="H289" i="27"/>
  <c r="BK289" i="27"/>
  <c r="B289" i="27"/>
  <c r="BN289" i="27"/>
  <c r="CB289" i="27"/>
  <c r="AP289" i="27"/>
  <c r="BZ289" i="27"/>
  <c r="CC289" i="27"/>
  <c r="BQ289" i="27"/>
  <c r="CD289" i="27"/>
  <c r="CG289" i="27"/>
  <c r="BD289" i="27"/>
  <c r="C289" i="27"/>
  <c r="J289" i="27" s="1"/>
  <c r="BC289" i="27"/>
  <c r="BH289" i="27" s="1"/>
  <c r="D290" i="27"/>
  <c r="G289" i="27"/>
  <c r="BA289" i="27"/>
  <c r="I289" i="27"/>
  <c r="K289" i="27" s="1"/>
  <c r="CJ289" i="27"/>
  <c r="CF289" i="27"/>
  <c r="CN289" i="27"/>
  <c r="CO287" i="27"/>
  <c r="BV287" i="27"/>
  <c r="AO287" i="27"/>
  <c r="CP288" i="27"/>
  <c r="BJ288" i="27"/>
  <c r="BL288" i="27"/>
  <c r="BM288" i="27" s="1"/>
  <c r="CM288" i="27"/>
  <c r="CH288" i="27"/>
  <c r="CR288" i="27"/>
  <c r="CS288" i="27"/>
  <c r="BI288" i="27"/>
  <c r="CT288" i="27"/>
  <c r="A288" i="27"/>
  <c r="CQ288" i="27"/>
  <c r="AQ288" i="27"/>
  <c r="AY288" i="27"/>
  <c r="AV288" i="27"/>
  <c r="AX288" i="27"/>
  <c r="AS288" i="27"/>
  <c r="AR288" i="27"/>
  <c r="AT288" i="27"/>
  <c r="AW288" i="27"/>
  <c r="AZ288" i="27"/>
  <c r="AU288" i="27"/>
  <c r="L288" i="27"/>
  <c r="CL289" i="27" l="1"/>
  <c r="BE289" i="27"/>
  <c r="AL289" i="27"/>
  <c r="AK289" i="27"/>
  <c r="BY289" i="27"/>
  <c r="E289" i="27"/>
  <c r="AM289" i="27" s="1"/>
  <c r="CA289" i="27"/>
  <c r="BB288" i="27"/>
  <c r="AN288" i="27"/>
  <c r="L289" i="27"/>
  <c r="AR289" i="27"/>
  <c r="AV289" i="27"/>
  <c r="AW289" i="27"/>
  <c r="AY289" i="27"/>
  <c r="AQ289" i="27"/>
  <c r="AX289" i="27"/>
  <c r="AU289" i="27"/>
  <c r="AT289" i="27"/>
  <c r="AZ289" i="27"/>
  <c r="AS289" i="27"/>
  <c r="CO288" i="27"/>
  <c r="BV288" i="27"/>
  <c r="AO288" i="27"/>
  <c r="CJ290" i="27"/>
  <c r="CG290" i="27"/>
  <c r="CD290" i="27"/>
  <c r="CB290" i="27"/>
  <c r="CN290" i="27"/>
  <c r="BN290" i="27"/>
  <c r="C290" i="27"/>
  <c r="J290" i="27" s="1"/>
  <c r="CI290" i="27"/>
  <c r="CF290" i="27"/>
  <c r="BD290" i="27"/>
  <c r="BA290" i="27"/>
  <c r="BQ290" i="27"/>
  <c r="CK290" i="27"/>
  <c r="G290" i="27"/>
  <c r="AP290" i="27"/>
  <c r="I290" i="27"/>
  <c r="K290" i="27" s="1"/>
  <c r="BK290" i="27"/>
  <c r="CE290" i="27"/>
  <c r="CC290" i="27"/>
  <c r="H290" i="27"/>
  <c r="D291" i="27"/>
  <c r="B290" i="27"/>
  <c r="BZ290" i="27"/>
  <c r="BC290" i="27"/>
  <c r="BH290" i="27" s="1"/>
  <c r="BL289" i="27"/>
  <c r="BM289" i="27" s="1"/>
  <c r="CT289" i="27"/>
  <c r="CR289" i="27"/>
  <c r="CQ289" i="27"/>
  <c r="BJ289" i="27"/>
  <c r="CP289" i="27"/>
  <c r="CS289" i="27"/>
  <c r="A289" i="27"/>
  <c r="BI289" i="27"/>
  <c r="CH289" i="27"/>
  <c r="CM289" i="27"/>
  <c r="E290" i="27" l="1"/>
  <c r="AM290" i="27" s="1"/>
  <c r="BE290" i="27"/>
  <c r="BY290" i="27"/>
  <c r="AK290" i="27"/>
  <c r="CL290" i="27"/>
  <c r="CA290" i="27"/>
  <c r="AL290" i="27"/>
  <c r="BB289" i="27"/>
  <c r="AN289" i="27"/>
  <c r="AW290" i="27"/>
  <c r="AV290" i="27"/>
  <c r="AQ290" i="27"/>
  <c r="AU290" i="27"/>
  <c r="AY290" i="27"/>
  <c r="AS290" i="27"/>
  <c r="AX290" i="27"/>
  <c r="AZ290" i="27"/>
  <c r="AT290" i="27"/>
  <c r="AR290" i="27"/>
  <c r="CT290" i="27"/>
  <c r="CR290" i="27"/>
  <c r="BI290" i="27"/>
  <c r="BL290" i="27"/>
  <c r="BM290" i="27" s="1"/>
  <c r="CS290" i="27"/>
  <c r="CQ290" i="27"/>
  <c r="A290" i="27"/>
  <c r="CP290" i="27"/>
  <c r="CM290" i="27"/>
  <c r="CH290" i="27"/>
  <c r="BJ290" i="27"/>
  <c r="CO289" i="27"/>
  <c r="BV289" i="27"/>
  <c r="AO289" i="27"/>
  <c r="L290" i="27"/>
  <c r="CJ291" i="27"/>
  <c r="CF291" i="27"/>
  <c r="BD291" i="27"/>
  <c r="CB291" i="27"/>
  <c r="AP291" i="27"/>
  <c r="G291" i="27"/>
  <c r="D292" i="27"/>
  <c r="BN291" i="27"/>
  <c r="BZ291" i="27"/>
  <c r="CE291" i="27"/>
  <c r="C291" i="27"/>
  <c r="J291" i="27" s="1"/>
  <c r="BQ291" i="27"/>
  <c r="H291" i="27"/>
  <c r="CK291" i="27"/>
  <c r="CI291" i="27"/>
  <c r="CG291" i="27"/>
  <c r="BA291" i="27"/>
  <c r="CC291" i="27"/>
  <c r="I291" i="27"/>
  <c r="K291" i="27" s="1"/>
  <c r="BK291" i="27"/>
  <c r="CD291" i="27"/>
  <c r="BC291" i="27"/>
  <c r="BH291" i="27" s="1"/>
  <c r="B291" i="27"/>
  <c r="CN291" i="27"/>
  <c r="CA291" i="27" l="1"/>
  <c r="BE291" i="27"/>
  <c r="E291" i="27"/>
  <c r="AM291" i="27" s="1"/>
  <c r="CL291" i="27"/>
  <c r="AL291" i="27"/>
  <c r="BY291" i="27"/>
  <c r="AK291" i="27"/>
  <c r="BB290" i="27"/>
  <c r="AN290" i="27"/>
  <c r="L291" i="27"/>
  <c r="BI291" i="27"/>
  <c r="CR291" i="27"/>
  <c r="CS291" i="27"/>
  <c r="A291" i="27"/>
  <c r="BL291" i="27"/>
  <c r="BM291" i="27" s="1"/>
  <c r="CT291" i="27"/>
  <c r="CQ291" i="27"/>
  <c r="CP291" i="27"/>
  <c r="CH291" i="27"/>
  <c r="BJ291" i="27"/>
  <c r="CM291" i="27"/>
  <c r="AT291" i="27"/>
  <c r="AV291" i="27"/>
  <c r="AS291" i="27"/>
  <c r="AR291" i="27"/>
  <c r="AY291" i="27"/>
  <c r="AQ291" i="27"/>
  <c r="AX291" i="27"/>
  <c r="AU291" i="27"/>
  <c r="AW291" i="27"/>
  <c r="AZ291" i="27"/>
  <c r="I292" i="27"/>
  <c r="K292" i="27" s="1"/>
  <c r="C292" i="27"/>
  <c r="J292" i="27" s="1"/>
  <c r="BC292" i="27"/>
  <c r="BH292" i="27" s="1"/>
  <c r="BK292" i="27"/>
  <c r="B292" i="27"/>
  <c r="G292" i="27"/>
  <c r="CN292" i="27"/>
  <c r="BN292" i="27"/>
  <c r="CD292" i="27"/>
  <c r="BA292" i="27"/>
  <c r="BD292" i="27"/>
  <c r="CB292" i="27"/>
  <c r="D293" i="27"/>
  <c r="AP292" i="27"/>
  <c r="BZ292" i="27"/>
  <c r="CE292" i="27"/>
  <c r="BQ292" i="27"/>
  <c r="H292" i="27"/>
  <c r="CK292" i="27"/>
  <c r="CI292" i="27"/>
  <c r="CG292" i="27"/>
  <c r="CC292" i="27"/>
  <c r="CJ292" i="27"/>
  <c r="CF292" i="27"/>
  <c r="CO290" i="27"/>
  <c r="BV290" i="27"/>
  <c r="AO290" i="27"/>
  <c r="CL292" i="27" l="1"/>
  <c r="BE292" i="27"/>
  <c r="AL292" i="27"/>
  <c r="AK292" i="27"/>
  <c r="E292" i="27"/>
  <c r="AM292" i="27" s="1"/>
  <c r="BY292" i="27"/>
  <c r="CA292" i="27"/>
  <c r="BB291" i="27"/>
  <c r="AN291" i="27"/>
  <c r="L292" i="27"/>
  <c r="CT292" i="27"/>
  <c r="BI292" i="27"/>
  <c r="CR292" i="27"/>
  <c r="CS292" i="27"/>
  <c r="BL292" i="27"/>
  <c r="BM292" i="27" s="1"/>
  <c r="CQ292" i="27"/>
  <c r="CP292" i="27"/>
  <c r="CM292" i="27"/>
  <c r="CH292" i="27"/>
  <c r="A292" i="27"/>
  <c r="BJ292" i="27"/>
  <c r="CO291" i="27"/>
  <c r="BV291" i="27"/>
  <c r="AO291" i="27"/>
  <c r="CE293" i="27"/>
  <c r="BZ293" i="27"/>
  <c r="CI293" i="27"/>
  <c r="BQ293" i="27"/>
  <c r="CK293" i="27"/>
  <c r="I293" i="27"/>
  <c r="K293" i="27" s="1"/>
  <c r="CC293" i="27"/>
  <c r="BC293" i="27"/>
  <c r="BH293" i="27" s="1"/>
  <c r="BK293" i="27"/>
  <c r="B293" i="27"/>
  <c r="CD293" i="27"/>
  <c r="G293" i="27"/>
  <c r="BA293" i="27"/>
  <c r="CF293" i="27"/>
  <c r="CB293" i="27"/>
  <c r="AP293" i="27"/>
  <c r="CG293" i="27"/>
  <c r="BN293" i="27"/>
  <c r="CJ293" i="27"/>
  <c r="CN293" i="27"/>
  <c r="BD293" i="27"/>
  <c r="D294" i="27"/>
  <c r="H293" i="27"/>
  <c r="C293" i="27"/>
  <c r="J293" i="27" s="1"/>
  <c r="AR292" i="27"/>
  <c r="AQ292" i="27"/>
  <c r="AV292" i="27"/>
  <c r="AX292" i="27"/>
  <c r="AU292" i="27"/>
  <c r="AW292" i="27"/>
  <c r="AT292" i="27"/>
  <c r="AZ292" i="27"/>
  <c r="AS292" i="27"/>
  <c r="AY292" i="27"/>
  <c r="CA293" i="27" l="1"/>
  <c r="BE293" i="27"/>
  <c r="CL293" i="27"/>
  <c r="BY293" i="27"/>
  <c r="E293" i="27"/>
  <c r="AM293" i="27" s="1"/>
  <c r="BB292" i="27"/>
  <c r="AN292" i="27"/>
  <c r="AK293" i="27"/>
  <c r="AL293" i="27"/>
  <c r="CN294" i="27"/>
  <c r="CD294" i="27"/>
  <c r="G294" i="27"/>
  <c r="BA294" i="27"/>
  <c r="CE294" i="27"/>
  <c r="H294" i="27"/>
  <c r="CF294" i="27"/>
  <c r="BN294" i="27"/>
  <c r="CJ294" i="27"/>
  <c r="BZ294" i="27"/>
  <c r="C294" i="27"/>
  <c r="J294" i="27" s="1"/>
  <c r="CK294" i="27"/>
  <c r="CI294" i="27"/>
  <c r="AP294" i="27"/>
  <c r="BD294" i="27"/>
  <c r="CB294" i="27"/>
  <c r="D295" i="27"/>
  <c r="CC294" i="27"/>
  <c r="BC294" i="27"/>
  <c r="BH294" i="27" s="1"/>
  <c r="BQ294" i="27"/>
  <c r="CG294" i="27"/>
  <c r="I294" i="27"/>
  <c r="K294" i="27" s="1"/>
  <c r="BY294" i="27"/>
  <c r="BK294" i="27"/>
  <c r="B294" i="27"/>
  <c r="CP293" i="27"/>
  <c r="CS293" i="27"/>
  <c r="CH293" i="27"/>
  <c r="CT293" i="27"/>
  <c r="BI293" i="27"/>
  <c r="A293" i="27"/>
  <c r="CR293" i="27"/>
  <c r="CM293" i="27"/>
  <c r="BJ293" i="27"/>
  <c r="BL293" i="27"/>
  <c r="BM293" i="27" s="1"/>
  <c r="CQ293" i="27"/>
  <c r="AW293" i="27"/>
  <c r="AQ293" i="27"/>
  <c r="AX293" i="27"/>
  <c r="AT293" i="27"/>
  <c r="AZ293" i="27"/>
  <c r="AV293" i="27"/>
  <c r="AU293" i="27"/>
  <c r="AS293" i="27"/>
  <c r="AR293" i="27"/>
  <c r="AY293" i="27"/>
  <c r="AO292" i="27"/>
  <c r="BV292" i="27"/>
  <c r="CO292" i="27"/>
  <c r="L293" i="27"/>
  <c r="CA294" i="27" l="1"/>
  <c r="BE294" i="27"/>
  <c r="AK294" i="27"/>
  <c r="E294" i="27"/>
  <c r="AM294" i="27" s="1"/>
  <c r="CL294" i="27"/>
  <c r="AL294" i="27"/>
  <c r="BB293" i="27"/>
  <c r="AN293" i="27"/>
  <c r="L294" i="27"/>
  <c r="CR294" i="27"/>
  <c r="BL294" i="27"/>
  <c r="BM294" i="27" s="1"/>
  <c r="CQ294" i="27"/>
  <c r="CP294" i="27"/>
  <c r="CM294" i="27"/>
  <c r="A294" i="27"/>
  <c r="CH294" i="27"/>
  <c r="BJ294" i="27"/>
  <c r="CS294" i="27"/>
  <c r="CT294" i="27"/>
  <c r="BI294" i="27"/>
  <c r="CE295" i="27"/>
  <c r="D296" i="27"/>
  <c r="CG295" i="27"/>
  <c r="CI295" i="27"/>
  <c r="BQ295" i="27"/>
  <c r="H295" i="27"/>
  <c r="C295" i="27"/>
  <c r="J295" i="27" s="1"/>
  <c r="CK295" i="27"/>
  <c r="BA295" i="27"/>
  <c r="BD295" i="27"/>
  <c r="I295" i="27"/>
  <c r="K295" i="27" s="1"/>
  <c r="CC295" i="27"/>
  <c r="CN295" i="27"/>
  <c r="G295" i="27"/>
  <c r="AP295" i="27"/>
  <c r="CB295" i="27"/>
  <c r="B295" i="27"/>
  <c r="BC295" i="27"/>
  <c r="BH295" i="27" s="1"/>
  <c r="BK295" i="27"/>
  <c r="CD295" i="27"/>
  <c r="BZ295" i="27"/>
  <c r="CF295" i="27"/>
  <c r="BN295" i="27"/>
  <c r="CJ295" i="27"/>
  <c r="AR294" i="27"/>
  <c r="AW294" i="27"/>
  <c r="AZ294" i="27"/>
  <c r="AX294" i="27"/>
  <c r="AY294" i="27"/>
  <c r="AQ294" i="27"/>
  <c r="AV294" i="27"/>
  <c r="AU294" i="27"/>
  <c r="AT294" i="27"/>
  <c r="AS294" i="27"/>
  <c r="CO293" i="27"/>
  <c r="BV293" i="27"/>
  <c r="AO293" i="27"/>
  <c r="CL295" i="27" l="1"/>
  <c r="BE295" i="27"/>
  <c r="BY295" i="27"/>
  <c r="AK295" i="27"/>
  <c r="AL295" i="27"/>
  <c r="BB294" i="27"/>
  <c r="AN294" i="27"/>
  <c r="E295" i="27"/>
  <c r="AM295" i="27" s="1"/>
  <c r="CA295" i="27"/>
  <c r="AY295" i="27"/>
  <c r="AZ295" i="27"/>
  <c r="AQ295" i="27"/>
  <c r="AR295" i="27"/>
  <c r="AX295" i="27"/>
  <c r="AT295" i="27"/>
  <c r="AW295" i="27"/>
  <c r="AV295" i="27"/>
  <c r="AU295" i="27"/>
  <c r="AS295" i="27"/>
  <c r="D297" i="27"/>
  <c r="AP296" i="27"/>
  <c r="BD296" i="27"/>
  <c r="CB296" i="27"/>
  <c r="BZ296" i="27"/>
  <c r="CE296" i="27"/>
  <c r="C296" i="27"/>
  <c r="J296" i="27" s="1"/>
  <c r="BQ296" i="27"/>
  <c r="H296" i="27"/>
  <c r="CJ296" i="27"/>
  <c r="CG296" i="27"/>
  <c r="CK296" i="27"/>
  <c r="CI296" i="27"/>
  <c r="I296" i="27"/>
  <c r="K296" i="27" s="1"/>
  <c r="CC296" i="27"/>
  <c r="CF296" i="27"/>
  <c r="BN296" i="27"/>
  <c r="B296" i="27"/>
  <c r="BE296" i="27" s="1"/>
  <c r="BC296" i="27"/>
  <c r="BH296" i="27" s="1"/>
  <c r="BK296" i="27"/>
  <c r="CN296" i="27"/>
  <c r="CD296" i="27"/>
  <c r="G296" i="27"/>
  <c r="BA296" i="27"/>
  <c r="AO294" i="27"/>
  <c r="BV294" i="27"/>
  <c r="CO294" i="27"/>
  <c r="L295" i="27"/>
  <c r="BL295" i="27"/>
  <c r="BM295" i="27" s="1"/>
  <c r="CQ295" i="27"/>
  <c r="BI295" i="27"/>
  <c r="CH295" i="27"/>
  <c r="CM295" i="27"/>
  <c r="CS295" i="27"/>
  <c r="CR295" i="27"/>
  <c r="CP295" i="27"/>
  <c r="A295" i="27"/>
  <c r="BJ295" i="27"/>
  <c r="CT295" i="27"/>
  <c r="E296" i="27" l="1"/>
  <c r="AM296" i="27" s="1"/>
  <c r="BY296" i="27"/>
  <c r="BB295" i="27"/>
  <c r="AN295" i="27"/>
  <c r="AK296" i="27"/>
  <c r="AL296" i="27"/>
  <c r="CL296" i="27"/>
  <c r="CA296" i="27"/>
  <c r="L296" i="27"/>
  <c r="CM296" i="27"/>
  <c r="CP296" i="27"/>
  <c r="CT296" i="27"/>
  <c r="CS296" i="27"/>
  <c r="BJ296" i="27"/>
  <c r="BI296" i="27"/>
  <c r="CR296" i="27"/>
  <c r="CQ296" i="27"/>
  <c r="A296" i="27"/>
  <c r="CH296" i="27"/>
  <c r="BL296" i="27"/>
  <c r="BM296" i="27" s="1"/>
  <c r="C297" i="27"/>
  <c r="J297" i="27" s="1"/>
  <c r="BQ297" i="27"/>
  <c r="H297" i="27"/>
  <c r="AL297" i="27"/>
  <c r="CK297" i="27"/>
  <c r="B297" i="27"/>
  <c r="CI297" i="27"/>
  <c r="CG297" i="27"/>
  <c r="CJ297" i="27"/>
  <c r="CB297" i="27"/>
  <c r="BZ297" i="27"/>
  <c r="I297" i="27"/>
  <c r="K297" i="27" s="1"/>
  <c r="CC297" i="27"/>
  <c r="BK297" i="27"/>
  <c r="BC297" i="27"/>
  <c r="BH297" i="27" s="1"/>
  <c r="CF297" i="27"/>
  <c r="BN297" i="27"/>
  <c r="D298" i="27"/>
  <c r="BD297" i="27"/>
  <c r="BA297" i="27"/>
  <c r="CN297" i="27"/>
  <c r="CD297" i="27"/>
  <c r="G297" i="27"/>
  <c r="AP297" i="27"/>
  <c r="CE297" i="27"/>
  <c r="BV295" i="27"/>
  <c r="AO295" i="27"/>
  <c r="CO295" i="27"/>
  <c r="AU296" i="27"/>
  <c r="AT296" i="27"/>
  <c r="AS296" i="27"/>
  <c r="AZ296" i="27"/>
  <c r="AV296" i="27"/>
  <c r="AR296" i="27"/>
  <c r="AY296" i="27"/>
  <c r="AX296" i="27"/>
  <c r="AW296" i="27"/>
  <c r="AQ296" i="27"/>
  <c r="CA297" i="27" l="1"/>
  <c r="BE297" i="27"/>
  <c r="BY297" i="27"/>
  <c r="AK297" i="27"/>
  <c r="BB296" i="27"/>
  <c r="AN296" i="27"/>
  <c r="CL297" i="27"/>
  <c r="E297" i="27"/>
  <c r="AM297" i="27" s="1"/>
  <c r="AQ297" i="27"/>
  <c r="AW297" i="27"/>
  <c r="AU297" i="27"/>
  <c r="AZ297" i="27"/>
  <c r="AV297" i="27"/>
  <c r="AS297" i="27"/>
  <c r="AR297" i="27"/>
  <c r="AT297" i="27"/>
  <c r="AX297" i="27"/>
  <c r="AY297" i="27"/>
  <c r="L297" i="27"/>
  <c r="CI298" i="27"/>
  <c r="CG298" i="27"/>
  <c r="CK298" i="27"/>
  <c r="BK298" i="27"/>
  <c r="B298" i="27"/>
  <c r="BC298" i="27"/>
  <c r="BH298" i="27" s="1"/>
  <c r="CJ298" i="27"/>
  <c r="CF298" i="27"/>
  <c r="BN298" i="27"/>
  <c r="AP298" i="27"/>
  <c r="BD298" i="27"/>
  <c r="BA298" i="27"/>
  <c r="CN298" i="27"/>
  <c r="CD298" i="27"/>
  <c r="G298" i="27"/>
  <c r="CE298" i="27"/>
  <c r="CC298" i="27"/>
  <c r="CB298" i="27"/>
  <c r="D299" i="27"/>
  <c r="BZ298" i="27"/>
  <c r="I298" i="27"/>
  <c r="K298" i="27" s="1"/>
  <c r="C298" i="27"/>
  <c r="J298" i="27" s="1"/>
  <c r="BQ298" i="27"/>
  <c r="H298" i="27"/>
  <c r="CH297" i="27"/>
  <c r="CR297" i="27"/>
  <c r="BI297" i="27"/>
  <c r="CM297" i="27"/>
  <c r="CT297" i="27"/>
  <c r="A297" i="27"/>
  <c r="CS297" i="27"/>
  <c r="BJ297" i="27"/>
  <c r="CQ297" i="27"/>
  <c r="CP297" i="27"/>
  <c r="BL297" i="27"/>
  <c r="BM297" i="27" s="1"/>
  <c r="BV296" i="27"/>
  <c r="AO296" i="27"/>
  <c r="CO296" i="27"/>
  <c r="CA298" i="27" l="1"/>
  <c r="BE298" i="27"/>
  <c r="AK298" i="27"/>
  <c r="BY298" i="27"/>
  <c r="CL298" i="27"/>
  <c r="BB297" i="27"/>
  <c r="AN297" i="27"/>
  <c r="E298" i="27"/>
  <c r="AM298" i="27" s="1"/>
  <c r="AL298" i="27"/>
  <c r="L298" i="27"/>
  <c r="CO297" i="27"/>
  <c r="BV297" i="27"/>
  <c r="AO297" i="27"/>
  <c r="CJ299" i="27"/>
  <c r="CF299" i="27"/>
  <c r="BN299" i="27"/>
  <c r="CB299" i="27"/>
  <c r="D300" i="27"/>
  <c r="AP299" i="27"/>
  <c r="BD299" i="27"/>
  <c r="BA299" i="27"/>
  <c r="G299" i="27"/>
  <c r="BZ299" i="27"/>
  <c r="CE299" i="27"/>
  <c r="H299" i="27"/>
  <c r="CI299" i="27"/>
  <c r="C299" i="27"/>
  <c r="J299" i="27" s="1"/>
  <c r="BQ299" i="27"/>
  <c r="CK299" i="27"/>
  <c r="CG299" i="27"/>
  <c r="CC299" i="27"/>
  <c r="I299" i="27"/>
  <c r="K299" i="27" s="1"/>
  <c r="CN299" i="27"/>
  <c r="CD299" i="27"/>
  <c r="BC299" i="27"/>
  <c r="BH299" i="27" s="1"/>
  <c r="BK299" i="27"/>
  <c r="B299" i="27"/>
  <c r="AS298" i="27"/>
  <c r="AU298" i="27"/>
  <c r="AZ298" i="27"/>
  <c r="AX298" i="27"/>
  <c r="AV298" i="27"/>
  <c r="AR298" i="27"/>
  <c r="AT298" i="27"/>
  <c r="AY298" i="27"/>
  <c r="AQ298" i="27"/>
  <c r="AW298" i="27"/>
  <c r="A298" i="27"/>
  <c r="CR298" i="27"/>
  <c r="CM298" i="27"/>
  <c r="CH298" i="27"/>
  <c r="BL298" i="27"/>
  <c r="BM298" i="27" s="1"/>
  <c r="CT298" i="27"/>
  <c r="CP298" i="27"/>
  <c r="BI298" i="27"/>
  <c r="CQ298" i="27"/>
  <c r="CS298" i="27"/>
  <c r="BJ298" i="27"/>
  <c r="CL299" i="27" l="1"/>
  <c r="BE299" i="27"/>
  <c r="BY299" i="27"/>
  <c r="AL299" i="27"/>
  <c r="E299" i="27"/>
  <c r="AM299" i="27" s="1"/>
  <c r="CA299" i="27"/>
  <c r="BB298" i="27"/>
  <c r="AN298" i="27"/>
  <c r="AK299" i="27"/>
  <c r="L299" i="27"/>
  <c r="BV298" i="27"/>
  <c r="AO298" i="27"/>
  <c r="CO298" i="27"/>
  <c r="AQ299" i="27"/>
  <c r="AU299" i="27"/>
  <c r="AW299" i="27"/>
  <c r="AT299" i="27"/>
  <c r="AV299" i="27"/>
  <c r="AZ299" i="27"/>
  <c r="AR299" i="27"/>
  <c r="AX299" i="27"/>
  <c r="AS299" i="27"/>
  <c r="AY299" i="27"/>
  <c r="CP299" i="27"/>
  <c r="BJ299" i="27"/>
  <c r="BI299" i="27"/>
  <c r="A299" i="27"/>
  <c r="CS299" i="27"/>
  <c r="CM299" i="27"/>
  <c r="CR299" i="27"/>
  <c r="CT299" i="27"/>
  <c r="BL299" i="27"/>
  <c r="BM299" i="27" s="1"/>
  <c r="CH299" i="27"/>
  <c r="CQ299" i="27"/>
  <c r="BC300" i="27"/>
  <c r="BH300" i="27" s="1"/>
  <c r="BK300" i="27"/>
  <c r="CN300" i="27"/>
  <c r="CF300" i="27"/>
  <c r="CD300" i="27"/>
  <c r="BA300" i="27"/>
  <c r="BN300" i="27"/>
  <c r="CJ300" i="27"/>
  <c r="AP300" i="27"/>
  <c r="BD300" i="27"/>
  <c r="CB300" i="27"/>
  <c r="BZ300" i="27"/>
  <c r="CE300" i="27"/>
  <c r="C300" i="27"/>
  <c r="J300" i="27" s="1"/>
  <c r="BQ300" i="27"/>
  <c r="H300" i="27"/>
  <c r="CK300" i="27"/>
  <c r="CG300" i="27"/>
  <c r="CI300" i="27"/>
  <c r="I300" i="27"/>
  <c r="K300" i="27" s="1"/>
  <c r="G300" i="27"/>
  <c r="CC300" i="27"/>
  <c r="B300" i="27"/>
  <c r="CL300" i="27" l="1"/>
  <c r="BE300" i="27"/>
  <c r="AL300" i="27"/>
  <c r="CA300" i="27"/>
  <c r="E300" i="27"/>
  <c r="AM300" i="27" s="1"/>
  <c r="BY300" i="27"/>
  <c r="BB299" i="27"/>
  <c r="AN299" i="27"/>
  <c r="AK300" i="27"/>
  <c r="L300" i="27"/>
  <c r="CR300" i="27"/>
  <c r="CM300" i="27"/>
  <c r="BL300" i="27"/>
  <c r="BM300" i="27" s="1"/>
  <c r="CQ300" i="27"/>
  <c r="CP300" i="27"/>
  <c r="BJ300" i="27"/>
  <c r="CT300" i="27"/>
  <c r="A300" i="27"/>
  <c r="CH300" i="27"/>
  <c r="BI300" i="27"/>
  <c r="CS300" i="27"/>
  <c r="AV300" i="27"/>
  <c r="AX300" i="27"/>
  <c r="AU300" i="27"/>
  <c r="AW300" i="27"/>
  <c r="AY300" i="27"/>
  <c r="AT300" i="27"/>
  <c r="AS300" i="27"/>
  <c r="AR300" i="27"/>
  <c r="AZ300" i="27"/>
  <c r="AQ300" i="27"/>
  <c r="CO299" i="27"/>
  <c r="AO299" i="27"/>
  <c r="BV299" i="27"/>
  <c r="BB300" i="27" l="1"/>
  <c r="AN300" i="27"/>
  <c r="CO300" i="27"/>
  <c r="BV300" i="27"/>
  <c r="AO300" i="27"/>
</calcChain>
</file>

<file path=xl/sharedStrings.xml><?xml version="1.0" encoding="utf-8"?>
<sst xmlns="http://schemas.openxmlformats.org/spreadsheetml/2006/main" count="3764" uniqueCount="305">
  <si>
    <t>VDIM_1</t>
  </si>
  <si>
    <t>VDIM_2</t>
  </si>
  <si>
    <t>VDIM_3</t>
  </si>
  <si>
    <t>VDIM_4</t>
  </si>
  <si>
    <t>VDIM_5</t>
  </si>
  <si>
    <t>VDIM_6</t>
  </si>
  <si>
    <t>VDIM_7</t>
  </si>
  <si>
    <t>VDIM_8</t>
  </si>
  <si>
    <t>VDIM_9</t>
  </si>
  <si>
    <t>VDIM_10</t>
  </si>
  <si>
    <t>VDIM_11</t>
  </si>
  <si>
    <t>VDIM_12</t>
  </si>
  <si>
    <t>VDIM_13</t>
  </si>
  <si>
    <t>HDIM_1</t>
  </si>
  <si>
    <t>Code</t>
  </si>
  <si>
    <t>Term</t>
  </si>
  <si>
    <t>Interest</t>
  </si>
  <si>
    <t>Purpose</t>
  </si>
  <si>
    <t>LTV</t>
  </si>
  <si>
    <t>Rate</t>
  </si>
  <si>
    <t>Product Fee</t>
  </si>
  <si>
    <t>Legal</t>
  </si>
  <si>
    <t>Valuation</t>
  </si>
  <si>
    <t>Cashback</t>
  </si>
  <si>
    <t>ERCs</t>
  </si>
  <si>
    <t>End Date</t>
  </si>
  <si>
    <t>Residential Mortgages</t>
  </si>
  <si>
    <t>Second Home Mortgages</t>
  </si>
  <si>
    <t>Interest Only Mortgages</t>
  </si>
  <si>
    <t>SEGMENTS</t>
  </si>
  <si>
    <t>Residential</t>
  </si>
  <si>
    <t>Second Home</t>
  </si>
  <si>
    <t>Interest Only</t>
  </si>
  <si>
    <t>Segment</t>
  </si>
  <si>
    <t>Buy to Let</t>
  </si>
  <si>
    <t>Shared Ownership</t>
  </si>
  <si>
    <t>Shared Equity</t>
  </si>
  <si>
    <t>Right to Buy</t>
  </si>
  <si>
    <t>Holiday Let</t>
  </si>
  <si>
    <t>Standard Variable Rates</t>
  </si>
  <si>
    <t>Buy to Let Mortgages</t>
  </si>
  <si>
    <t>Portfolio Buy to Let</t>
  </si>
  <si>
    <t>Holiday Let Mortgages</t>
  </si>
  <si>
    <t>Shared Ownership Mortgages</t>
  </si>
  <si>
    <t>Shared Equity Mortgages</t>
  </si>
  <si>
    <t>Right to Buy Mortgages</t>
  </si>
  <si>
    <t>Help to Buy Mortgages</t>
  </si>
  <si>
    <t>Help to Buy</t>
  </si>
  <si>
    <t>TERM</t>
  </si>
  <si>
    <t>LEGAL</t>
  </si>
  <si>
    <t>VALUATION</t>
  </si>
  <si>
    <t>ERC</t>
  </si>
  <si>
    <t>Yes</t>
  </si>
  <si>
    <t>No</t>
  </si>
  <si>
    <t>INTEREST</t>
  </si>
  <si>
    <t>Discounted</t>
  </si>
  <si>
    <t>Fixed</t>
  </si>
  <si>
    <t>Product</t>
  </si>
  <si>
    <t>Incentives</t>
  </si>
  <si>
    <t>HDIM_2</t>
  </si>
  <si>
    <t>SEGMENT</t>
  </si>
  <si>
    <t>N/A</t>
  </si>
  <si>
    <t>HDIM_3</t>
  </si>
  <si>
    <t>HDIM_4</t>
  </si>
  <si>
    <t>HDIM_5</t>
  </si>
  <si>
    <t>Created By</t>
  </si>
  <si>
    <t>Approved By</t>
  </si>
  <si>
    <t>Product Type</t>
  </si>
  <si>
    <t>ALL</t>
  </si>
  <si>
    <t>PUR</t>
  </si>
  <si>
    <t>Matrix Date</t>
  </si>
  <si>
    <t>BBR</t>
  </si>
  <si>
    <t>Our…</t>
  </si>
  <si>
    <t>Standard Variable Rate</t>
  </si>
  <si>
    <t>Buy to Let Variable Rate</t>
  </si>
  <si>
    <t xml:space="preserve"> </t>
  </si>
  <si>
    <t>Loan to Value (LTV)</t>
  </si>
  <si>
    <t>Loan Purpose</t>
  </si>
  <si>
    <t>Interest Basis</t>
  </si>
  <si>
    <t>Please Note</t>
  </si>
  <si>
    <t>Minimum Advance</t>
  </si>
  <si>
    <t>This is for internal or intermediary use only, and should not be distributed to potential borrowers or other customers.</t>
  </si>
  <si>
    <t>Product Term (Years)</t>
  </si>
  <si>
    <t>New Build</t>
  </si>
  <si>
    <t>New Build Mortgages</t>
  </si>
  <si>
    <t>Tracker</t>
  </si>
  <si>
    <t>Variable</t>
  </si>
  <si>
    <t>Retirement Interest Only</t>
  </si>
  <si>
    <t>Retirement Interest Only Mortgages</t>
  </si>
  <si>
    <t>Small HMO</t>
  </si>
  <si>
    <t>Large HMO</t>
  </si>
  <si>
    <t>Small HMO Mortgages</t>
  </si>
  <si>
    <t>Large HMO Mortgages</t>
  </si>
  <si>
    <t>REM</t>
  </si>
  <si>
    <t>ANN</t>
  </si>
  <si>
    <t>DLY</t>
  </si>
  <si>
    <t>SVR</t>
  </si>
  <si>
    <t>BVR</t>
  </si>
  <si>
    <t>Legal Incentive</t>
  </si>
  <si>
    <t>Easy Start Buy to Let Mortgages</t>
  </si>
  <si>
    <t>Easy Start Portfolio Buy to Let Mortgages</t>
  </si>
  <si>
    <t>Easy Start Portfolio Buy to Let</t>
  </si>
  <si>
    <t>Easy Start Buy to Let</t>
  </si>
  <si>
    <t>New Mortgage Products</t>
  </si>
  <si>
    <t/>
  </si>
  <si>
    <t>Blank 2</t>
  </si>
  <si>
    <t>Withdrawn Mortgage Products</t>
  </si>
  <si>
    <t xml:space="preserve">The Headlines </t>
  </si>
  <si>
    <t>Featured Products</t>
  </si>
  <si>
    <t>▪</t>
  </si>
  <si>
    <t xml:space="preserve">Residential </t>
  </si>
  <si>
    <t xml:space="preserve">Interest Only </t>
  </si>
  <si>
    <t xml:space="preserve">Buy To Let </t>
  </si>
  <si>
    <t xml:space="preserve">Portfolio Buy To Let </t>
  </si>
  <si>
    <t xml:space="preserve">Holiday Let </t>
  </si>
  <si>
    <t>Help To Buy</t>
  </si>
  <si>
    <t>Right To Buy</t>
  </si>
  <si>
    <t xml:space="preserve">Retirement Interest Only </t>
  </si>
  <si>
    <t xml:space="preserve">Small HMO </t>
  </si>
  <si>
    <t xml:space="preserve">Large HMO </t>
  </si>
  <si>
    <t xml:space="preserve"> Portfolio Buy to Let Mortgages</t>
  </si>
  <si>
    <t>Portfolio Buy to Let Mortgages</t>
  </si>
  <si>
    <t>First Homes</t>
  </si>
  <si>
    <t>Interest Only Part &amp; Part</t>
  </si>
  <si>
    <t>Max. LTV</t>
  </si>
  <si>
    <t>APRC</t>
  </si>
  <si>
    <t>Green</t>
  </si>
  <si>
    <t>erc_rank_1</t>
  </si>
  <si>
    <t>erc_rank_2</t>
  </si>
  <si>
    <t>erc_rank_3</t>
  </si>
  <si>
    <t>erc_rank_4</t>
  </si>
  <si>
    <t>erc_rank_5</t>
  </si>
  <si>
    <t>erc_rank_6</t>
  </si>
  <si>
    <t>erc_rank_7</t>
  </si>
  <si>
    <t>erc_rank_8</t>
  </si>
  <si>
    <t>erc_rank_9</t>
  </si>
  <si>
    <t>erc_rank_10</t>
  </si>
  <si>
    <t>Tem</t>
  </si>
  <si>
    <t>Discount SVR</t>
  </si>
  <si>
    <t>BTL</t>
  </si>
  <si>
    <t>Lending Type</t>
  </si>
  <si>
    <t>Second Homes</t>
  </si>
  <si>
    <t>Residential Interest Only</t>
  </si>
  <si>
    <t>BuyToLet</t>
  </si>
  <si>
    <t>Intermediary Portfolio BTL</t>
  </si>
  <si>
    <t>Intermediary Holiday Let</t>
  </si>
  <si>
    <t>Intermediary Small HMO</t>
  </si>
  <si>
    <t>Intermediary Large HMO</t>
  </si>
  <si>
    <t>product_description</t>
  </si>
  <si>
    <t>lending_type</t>
  </si>
  <si>
    <t>product_code</t>
  </si>
  <si>
    <t>rate1</t>
  </si>
  <si>
    <t>until1</t>
  </si>
  <si>
    <t>rate2</t>
  </si>
  <si>
    <t>until2</t>
  </si>
  <si>
    <t>rate3</t>
  </si>
  <si>
    <t>until3</t>
  </si>
  <si>
    <t>rate4</t>
  </si>
  <si>
    <t>until4</t>
  </si>
  <si>
    <t>rate5</t>
  </si>
  <si>
    <t>until5</t>
  </si>
  <si>
    <t>rate6</t>
  </si>
  <si>
    <t>until6</t>
  </si>
  <si>
    <t>rate7</t>
  </si>
  <si>
    <t>until7</t>
  </si>
  <si>
    <t>rate8</t>
  </si>
  <si>
    <t>until8</t>
  </si>
  <si>
    <t>revert_rate</t>
  </si>
  <si>
    <t>revert_rate_type</t>
  </si>
  <si>
    <t>overpay</t>
  </si>
  <si>
    <t>mortgage_type</t>
  </si>
  <si>
    <t>purchaser_type</t>
  </si>
  <si>
    <t>early_repayment_charges_erc_applied</t>
  </si>
  <si>
    <t>erc_description</t>
  </si>
  <si>
    <t>cashback</t>
  </si>
  <si>
    <t>free_legal</t>
  </si>
  <si>
    <t>free_val</t>
  </si>
  <si>
    <t>min_loan_policy</t>
  </si>
  <si>
    <t>max_loan_policy</t>
  </si>
  <si>
    <t>max_ltv</t>
  </si>
  <si>
    <t>interest_only_proportion</t>
  </si>
  <si>
    <t>arrangement_fee</t>
  </si>
  <si>
    <t>booking_fee</t>
  </si>
  <si>
    <t>chaps_fee</t>
  </si>
  <si>
    <t>conveyancing_fee</t>
  </si>
  <si>
    <t>deeds_release_fee</t>
  </si>
  <si>
    <t>disbursement_fee</t>
  </si>
  <si>
    <t>higher_lending_fee</t>
  </si>
  <si>
    <t>first_time_buyer</t>
  </si>
  <si>
    <t>exclusive_product</t>
  </si>
  <si>
    <t>Live Product Codes</t>
  </si>
  <si>
    <t>Get In Touch</t>
  </si>
  <si>
    <r>
      <t xml:space="preserve">Contact our Mortgage Service Desk on 
</t>
    </r>
    <r>
      <rPr>
        <b/>
        <sz val="10"/>
        <color theme="1"/>
        <rFont val="Arial"/>
        <family val="2"/>
      </rPr>
      <t>03458 48 00 61</t>
    </r>
  </si>
  <si>
    <t>All of our residential 2 year term products offer a 0.75% SVR discount for a further 3 years.</t>
  </si>
  <si>
    <t>All of our residential 3 year term products offer a 0.75% SVR discount for a further 2 years.</t>
  </si>
  <si>
    <t>Our Bank of England Base Rate Tracker Products track the Bank of England Base Rate plus an additional interest rate loading.</t>
  </si>
  <si>
    <t>The interest rates quoted in this document reflect the combination of the current Bank of England Base Rate plus the additional interest rate loading.</t>
  </si>
  <si>
    <t>Base Rate</t>
  </si>
  <si>
    <t>Current Mortgage Products</t>
  </si>
  <si>
    <t>All of our buy to let 2 year term products offer a 1.00% BVR discount for a further 3 years.</t>
  </si>
  <si>
    <t>Our Reversion Period</t>
  </si>
  <si>
    <t>Our Bank of England Base Rate Tracker Products</t>
  </si>
  <si>
    <t>Our Early Repayment Charges</t>
  </si>
  <si>
    <t>lender_name</t>
  </si>
  <si>
    <t>product_availability</t>
  </si>
  <si>
    <t>floor_rate</t>
  </si>
  <si>
    <t>Our Minimum Loans</t>
  </si>
  <si>
    <t>Any products flagged 'Check Minimum Loan' have a minimum loan of £180,000.</t>
  </si>
  <si>
    <t>Until 31/07/2028</t>
  </si>
  <si>
    <t>5% until 31/07/2024</t>
  </si>
  <si>
    <t>5% until 31/07/2025</t>
  </si>
  <si>
    <t>4% until 31/07/2026</t>
  </si>
  <si>
    <t>3% until 31/07/2027</t>
  </si>
  <si>
    <t>2% until 31/07/2028</t>
  </si>
  <si>
    <t>Show Segment</t>
  </si>
  <si>
    <t>Our Loan to Value</t>
  </si>
  <si>
    <t>Where the guide says LTV, for Shared Ownership products this refers to the maximum borrower share available on that product.</t>
  </si>
  <si>
    <t>rate1_initial_period</t>
  </si>
  <si>
    <t>rate2_initial_period</t>
  </si>
  <si>
    <t>rate3_initial_period</t>
  </si>
  <si>
    <t>rate4_initial_period</t>
  </si>
  <si>
    <t>rate5_initial_period</t>
  </si>
  <si>
    <t>rate6_initial_period</t>
  </si>
  <si>
    <t>rate7_initial_period</t>
  </si>
  <si>
    <t>rate8_initial_period</t>
  </si>
  <si>
    <t>rate9</t>
  </si>
  <si>
    <t>until9</t>
  </si>
  <si>
    <t>rate9_initial_period</t>
  </si>
  <si>
    <t>rate10</t>
  </si>
  <si>
    <t>until10</t>
  </si>
  <si>
    <t>rate10_initial_period</t>
  </si>
  <si>
    <t>valuation_fee</t>
  </si>
  <si>
    <t>val_refund_product_incentive</t>
  </si>
  <si>
    <t>min_ltv</t>
  </si>
  <si>
    <t>repayment_type</t>
  </si>
  <si>
    <t>arrangement_fee_loan_or_property</t>
  </si>
  <si>
    <t>mortgage_exit_fee</t>
  </si>
  <si>
    <t>processing_fee</t>
  </si>
  <si>
    <t>packager_fee</t>
  </si>
  <si>
    <t>expat_not_in_uk</t>
  </si>
  <si>
    <t>second_residential</t>
  </si>
  <si>
    <t>joint_borrower-sole_proprietor</t>
  </si>
  <si>
    <t>help_to_buy</t>
  </si>
  <si>
    <t>shared_ownership</t>
  </si>
  <si>
    <t>right_to_buy</t>
  </si>
  <si>
    <t>self_build</t>
  </si>
  <si>
    <t>retirement_interest_only_rio</t>
  </si>
  <si>
    <t>limited_company_buy_to_let</t>
  </si>
  <si>
    <t>holiday_let_air_bb</t>
  </si>
  <si>
    <t>regulated_buy_to_let</t>
  </si>
  <si>
    <t>hmo</t>
  </si>
  <si>
    <t>let_to_buy</t>
  </si>
  <si>
    <t>portfolio_landlord</t>
  </si>
  <si>
    <t>multi_unit_freehold_block</t>
  </si>
  <si>
    <t>new_build</t>
  </si>
  <si>
    <t>shared_equity</t>
  </si>
  <si>
    <t>offset</t>
  </si>
  <si>
    <t>green_eco</t>
  </si>
  <si>
    <t>existing_customer</t>
  </si>
  <si>
    <t>product_notes</t>
  </si>
  <si>
    <t>rate_type</t>
  </si>
  <si>
    <t>Lines open Mon - Fri: 9:00am - 4:45pm, 
Sat: Closed
Sun: Closed</t>
  </si>
  <si>
    <t>Our Direct Only Products</t>
  </si>
  <si>
    <t>Our Retirement Interest Only Rate Switch products are only available though direct channels.</t>
  </si>
  <si>
    <t>30/11/2026</t>
  </si>
  <si>
    <t>30/11/2029</t>
  </si>
  <si>
    <t>Until 30/11/2025</t>
  </si>
  <si>
    <t>2% until 30/11/2025</t>
  </si>
  <si>
    <t>Until 30/11/2026</t>
  </si>
  <si>
    <t>2.5% until 30/11/2025</t>
  </si>
  <si>
    <t>1.5% until 30/11/2026</t>
  </si>
  <si>
    <t>Until 30/11/2027</t>
  </si>
  <si>
    <t>3.5% until 30/11/2025</t>
  </si>
  <si>
    <t>2.5% until 30/11/2026</t>
  </si>
  <si>
    <t>1.5% until 30/11/2027</t>
  </si>
  <si>
    <t>Until 30/11/2029</t>
  </si>
  <si>
    <t>5% until 30/11/2025</t>
  </si>
  <si>
    <t>5% until 30/11/2026</t>
  </si>
  <si>
    <t>4% until 30/11/2027</t>
  </si>
  <si>
    <t>3% until 30/11/2028</t>
  </si>
  <si>
    <t>2% until 30/11/2029</t>
  </si>
  <si>
    <t>30/11/2027</t>
  </si>
  <si>
    <t>31/12/2025</t>
  </si>
  <si>
    <t>31/01/2027</t>
  </si>
  <si>
    <t>31/01/2030</t>
  </si>
  <si>
    <t>31/01/2028</t>
  </si>
  <si>
    <t>Valid from Thursday, 10th October 2024.</t>
  </si>
  <si>
    <r>
      <t xml:space="preserve">Applications on withdrawn products must 
be with the Society by 
</t>
    </r>
    <r>
      <rPr>
        <b/>
        <sz val="10"/>
        <color rgb="FF191D38"/>
        <rFont val="Arial"/>
        <family val="2"/>
      </rPr>
      <t>midnight on Wednesday, 9th October 2024.</t>
    </r>
    <r>
      <rPr>
        <sz val="10"/>
        <color rgb="FF191D38"/>
        <rFont val="Arial"/>
        <family val="2"/>
      </rPr>
      <t xml:space="preserve">
Applications after this date 
will not be accepted.</t>
    </r>
  </si>
  <si>
    <t>Selected Residential products reduced by 0.10%</t>
  </si>
  <si>
    <t>Selected Buy to Let products reduced by up to 0.59%.</t>
  </si>
  <si>
    <t>Selected Shared Ownership products reduced by up to 0.70%.</t>
  </si>
  <si>
    <t>For example, a residential 2 year fixed rate ending 31/01/2027 will revert to 7.49% until 31/01/2030, and then on to our SVR.</t>
  </si>
  <si>
    <t>For example, a residential 3 year fixed rate ending 31/01/2028 will revert to 7.49% until 31/01/2030, and then on to our SVR.</t>
  </si>
  <si>
    <t>For example, a buy to let 2 year fixed rate ending 31/01/2027 will revert to 7.54% until 31/01/2030, and then on to our BVR.</t>
  </si>
  <si>
    <t>Affordable Housing and Buy to Let end dates extended to 31/01.</t>
  </si>
  <si>
    <t>Newbould</t>
  </si>
  <si>
    <t>1 Year Fixed Rate</t>
  </si>
  <si>
    <t>Daily Interest</t>
  </si>
  <si>
    <t>2 Year Fixed Rate</t>
  </si>
  <si>
    <t>2 Year Fixed Rate - No Fee</t>
  </si>
  <si>
    <t>2 Year Fixed Rate (Check Minimum Loan)</t>
  </si>
  <si>
    <t>5 Year Fixed Rate (Check Minimum Loan)</t>
  </si>
  <si>
    <t>5 Year Fixed Rate</t>
  </si>
  <si>
    <t>5 Year Fixed Rate - No Fee</t>
  </si>
  <si>
    <t>3 Year Fixed Rate - No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</si>
</sst>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&quot;£&quot;#,##0_);[Red]\(&quot;£&quot;#,##0\)"/>
    <numFmt numFmtId="166" formatCode="0.0%"/>
    <numFmt numFmtId="167" formatCode="[$-F800]dddd\,\ mmmm\ dd\,\ yyyy"/>
    <numFmt numFmtId="168" formatCode="&quot;£&quot;#,##0.00"/>
    <numFmt numFmtId="169" formatCode="&quot;£&quot;#,##0"/>
    <numFmt numFmtId="170" formatCode="yyyy\-mm\-dd;@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182745"/>
      <name val="Arial"/>
      <family val="2"/>
    </font>
    <font>
      <b/>
      <sz val="18"/>
      <color theme="0"/>
      <name val="Arial"/>
      <family val="2"/>
    </font>
    <font>
      <b/>
      <sz val="10"/>
      <color rgb="FF182745"/>
      <name val="Arial"/>
      <family val="2"/>
    </font>
    <font>
      <b/>
      <sz val="11"/>
      <color rgb="FF182745"/>
      <name val="Arial"/>
      <family val="2"/>
    </font>
    <font>
      <b/>
      <sz val="24"/>
      <color rgb="FF182745"/>
      <name val="Arial"/>
      <family val="2"/>
    </font>
    <font>
      <b/>
      <sz val="36"/>
      <color rgb="FF182745"/>
      <name val="Arial"/>
      <family val="2"/>
    </font>
    <font>
      <sz val="11"/>
      <color rgb="FF18274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182745"/>
      <name val="Arial"/>
      <family val="2"/>
    </font>
    <font>
      <i/>
      <sz val="10"/>
      <color rgb="FF182745"/>
      <name val="Arial"/>
      <family val="2"/>
    </font>
    <font>
      <b/>
      <sz val="15"/>
      <color rgb="FF505050"/>
      <name val="Helvetica"/>
      <family val="2"/>
    </font>
    <font>
      <b/>
      <sz val="12"/>
      <color rgb="FF182745"/>
      <name val="Arial"/>
      <family val="2"/>
    </font>
    <font>
      <b/>
      <sz val="9"/>
      <color rgb="FF182745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6"/>
      <color theme="10"/>
      <name val="Arial"/>
      <family val="2"/>
    </font>
    <font>
      <b/>
      <sz val="22"/>
      <color rgb="FFFFC000"/>
      <name val="Arial"/>
      <family val="2"/>
    </font>
    <font>
      <b/>
      <u/>
      <sz val="26"/>
      <color rgb="FF182745"/>
      <name val="Arial"/>
      <family val="2"/>
    </font>
    <font>
      <b/>
      <sz val="22"/>
      <color rgb="FF00B0F0"/>
      <name val="Arial"/>
      <family val="2"/>
    </font>
    <font>
      <b/>
      <sz val="28"/>
      <color rgb="FF182745"/>
      <name val="Arial"/>
      <family val="2"/>
    </font>
    <font>
      <sz val="10"/>
      <color rgb="FF191D3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8"/>
      <color rgb="FF182745"/>
      <name val="Calibri"/>
      <family val="2"/>
    </font>
    <font>
      <sz val="16"/>
      <color rgb="FF182745"/>
      <name val="Calibri"/>
      <family val="2"/>
    </font>
    <font>
      <sz val="36"/>
      <color rgb="FF182745"/>
      <name val="Arial"/>
      <family val="2"/>
    </font>
    <font>
      <sz val="12"/>
      <color rgb="FF182745"/>
      <name val="Arial"/>
      <family val="2"/>
    </font>
    <font>
      <b/>
      <sz val="10"/>
      <color rgb="FF191D38"/>
      <name val="Arial"/>
      <family val="2"/>
    </font>
    <font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Segoe UI"/>
      <family val="2"/>
    </font>
    <font>
      <b/>
      <sz val="16"/>
      <color rgb="FF18274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827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rgb="FF182745"/>
      </left>
      <right style="thin">
        <color rgb="FF182745"/>
      </right>
      <top style="thin">
        <color rgb="FF182745"/>
      </top>
      <bottom style="thin">
        <color rgb="FF182745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182745"/>
      </right>
      <top style="thin">
        <color rgb="FF182745"/>
      </top>
      <bottom/>
      <diagonal/>
    </border>
    <border>
      <left/>
      <right style="thin">
        <color rgb="FF182745"/>
      </right>
      <top/>
      <bottom style="thin">
        <color rgb="FF182745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rgb="FFFFC00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8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9" fontId="1" fillId="0" borderId="4" xfId="0" applyNumberFormat="1" applyFont="1" applyBorder="1" applyAlignment="1" applyProtection="1">
      <alignment horizontal="center" vertical="center"/>
      <protection locked="0"/>
    </xf>
    <xf numFmtId="10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vertical="center"/>
      <protection locked="0"/>
    </xf>
    <xf numFmtId="9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7" borderId="19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vertical="center"/>
    </xf>
    <xf numFmtId="0" fontId="1" fillId="6" borderId="15" xfId="0" applyFon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9" fontId="4" fillId="5" borderId="19" xfId="0" applyNumberFormat="1" applyFont="1" applyFill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>
      <alignment horizontal="center" vertical="center"/>
    </xf>
    <xf numFmtId="14" fontId="1" fillId="5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167" fontId="5" fillId="7" borderId="0" xfId="0" applyNumberFormat="1" applyFont="1" applyFill="1" applyAlignment="1">
      <alignment horizontal="right" vertical="center"/>
    </xf>
    <xf numFmtId="167" fontId="5" fillId="7" borderId="0" xfId="0" applyNumberFormat="1" applyFont="1" applyFill="1" applyAlignment="1">
      <alignment vertical="center"/>
    </xf>
    <xf numFmtId="0" fontId="1" fillId="7" borderId="15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9" borderId="18" xfId="0" applyFont="1" applyFill="1" applyBorder="1" applyAlignment="1">
      <alignment vertical="center"/>
    </xf>
    <xf numFmtId="0" fontId="10" fillId="9" borderId="0" xfId="0" applyFont="1" applyFill="1" applyAlignment="1">
      <alignment vertical="center" wrapText="1"/>
    </xf>
    <xf numFmtId="0" fontId="7" fillId="9" borderId="0" xfId="0" applyFont="1" applyFill="1" applyAlignment="1">
      <alignment vertical="center" wrapText="1"/>
    </xf>
    <xf numFmtId="10" fontId="8" fillId="9" borderId="0" xfId="0" applyNumberFormat="1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1" fillId="9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165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9" fontId="1" fillId="0" borderId="30" xfId="0" applyNumberFormat="1" applyFont="1" applyBorder="1" applyAlignment="1" applyProtection="1">
      <alignment horizontal="center" vertical="center"/>
      <protection locked="0"/>
    </xf>
    <xf numFmtId="10" fontId="1" fillId="0" borderId="30" xfId="0" applyNumberFormat="1" applyFont="1" applyBorder="1" applyAlignment="1" applyProtection="1">
      <alignment horizontal="center" vertical="center"/>
      <protection locked="0"/>
    </xf>
    <xf numFmtId="14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165" fontId="4" fillId="5" borderId="19" xfId="0" applyNumberFormat="1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9" fillId="0" borderId="0" xfId="0" applyFont="1"/>
    <xf numFmtId="167" fontId="5" fillId="5" borderId="0" xfId="0" applyNumberFormat="1" applyFont="1" applyFill="1" applyAlignment="1">
      <alignment horizontal="right" vertical="center"/>
    </xf>
    <xf numFmtId="167" fontId="5" fillId="5" borderId="0" xfId="0" applyNumberFormat="1" applyFont="1" applyFill="1" applyAlignment="1">
      <alignment vertical="center"/>
    </xf>
    <xf numFmtId="0" fontId="1" fillId="5" borderId="18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10" fontId="9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0" fontId="8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15" fillId="0" borderId="0" xfId="0" applyFont="1"/>
    <xf numFmtId="0" fontId="1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left" vertical="center"/>
    </xf>
    <xf numFmtId="10" fontId="9" fillId="5" borderId="0" xfId="0" applyNumberFormat="1" applyFont="1" applyFill="1" applyAlignment="1">
      <alignment horizontal="left" vertical="center"/>
    </xf>
    <xf numFmtId="165" fontId="16" fillId="5" borderId="0" xfId="0" applyNumberFormat="1" applyFont="1" applyFill="1" applyAlignment="1">
      <alignment vertical="center" wrapText="1"/>
    </xf>
    <xf numFmtId="0" fontId="17" fillId="5" borderId="13" xfId="0" applyFont="1" applyFill="1" applyBorder="1" applyAlignment="1">
      <alignment horizontal="left" vertical="center"/>
    </xf>
    <xf numFmtId="165" fontId="16" fillId="5" borderId="13" xfId="0" applyNumberFormat="1" applyFont="1" applyFill="1" applyBorder="1" applyAlignment="1">
      <alignment vertical="center" wrapText="1"/>
    </xf>
    <xf numFmtId="165" fontId="4" fillId="5" borderId="13" xfId="0" applyNumberFormat="1" applyFont="1" applyFill="1" applyBorder="1" applyAlignment="1">
      <alignment vertical="center" wrapText="1"/>
    </xf>
    <xf numFmtId="165" fontId="4" fillId="5" borderId="0" xfId="0" applyNumberFormat="1" applyFont="1" applyFill="1" applyAlignment="1">
      <alignment vertical="center" wrapText="1"/>
    </xf>
    <xf numFmtId="0" fontId="1" fillId="5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14" fontId="13" fillId="5" borderId="13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14" fontId="17" fillId="5" borderId="13" xfId="0" applyNumberFormat="1" applyFont="1" applyFill="1" applyBorder="1" applyAlignment="1">
      <alignment horizontal="right" vertical="center"/>
    </xf>
    <xf numFmtId="0" fontId="20" fillId="5" borderId="0" xfId="3" applyFont="1" applyFill="1" applyBorder="1" applyAlignment="1" applyProtection="1">
      <alignment vertical="center"/>
    </xf>
    <xf numFmtId="0" fontId="20" fillId="5" borderId="8" xfId="3" applyFont="1" applyFill="1" applyBorder="1" applyAlignment="1" applyProtection="1">
      <alignment vertical="center"/>
    </xf>
    <xf numFmtId="0" fontId="21" fillId="5" borderId="0" xfId="3" applyFont="1" applyFill="1" applyBorder="1" applyAlignment="1" applyProtection="1">
      <alignment vertical="center"/>
    </xf>
    <xf numFmtId="0" fontId="22" fillId="5" borderId="0" xfId="3" applyFont="1" applyFill="1" applyBorder="1" applyAlignment="1" applyProtection="1">
      <alignment vertical="center"/>
    </xf>
    <xf numFmtId="165" fontId="6" fillId="5" borderId="0" xfId="0" applyNumberFormat="1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8" fillId="5" borderId="13" xfId="0" applyFont="1" applyFill="1" applyBorder="1" applyAlignment="1">
      <alignment vertical="center"/>
    </xf>
    <xf numFmtId="0" fontId="20" fillId="5" borderId="32" xfId="3" applyFont="1" applyFill="1" applyBorder="1" applyAlignment="1" applyProtection="1">
      <alignment vertical="center"/>
    </xf>
    <xf numFmtId="0" fontId="1" fillId="5" borderId="32" xfId="0" applyFont="1" applyFill="1" applyBorder="1" applyAlignment="1">
      <alignment vertical="center"/>
    </xf>
    <xf numFmtId="165" fontId="4" fillId="5" borderId="32" xfId="0" applyNumberFormat="1" applyFont="1" applyFill="1" applyBorder="1" applyAlignment="1">
      <alignment vertical="center" wrapText="1"/>
    </xf>
    <xf numFmtId="0" fontId="1" fillId="5" borderId="33" xfId="0" applyFont="1" applyFill="1" applyBorder="1" applyAlignment="1">
      <alignment vertical="center"/>
    </xf>
    <xf numFmtId="0" fontId="24" fillId="5" borderId="0" xfId="0" applyFont="1" applyFill="1" applyAlignment="1">
      <alignment vertical="top" wrapText="1"/>
    </xf>
    <xf numFmtId="0" fontId="25" fillId="5" borderId="0" xfId="0" applyFont="1" applyFill="1" applyAlignment="1">
      <alignment vertical="center" wrapText="1"/>
    </xf>
    <xf numFmtId="0" fontId="26" fillId="5" borderId="0" xfId="0" applyFont="1" applyFill="1" applyAlignment="1">
      <alignment vertical="center"/>
    </xf>
    <xf numFmtId="165" fontId="27" fillId="5" borderId="0" xfId="0" applyNumberFormat="1" applyFont="1" applyFill="1" applyAlignment="1">
      <alignment vertical="center" wrapText="1"/>
    </xf>
    <xf numFmtId="0" fontId="28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29" fillId="5" borderId="0" xfId="0" applyFont="1" applyFill="1" applyAlignment="1">
      <alignment horizontal="center" vertical="center"/>
    </xf>
    <xf numFmtId="10" fontId="10" fillId="5" borderId="0" xfId="0" applyNumberFormat="1" applyFont="1" applyFill="1" applyAlignment="1">
      <alignment vertical="center"/>
    </xf>
    <xf numFmtId="165" fontId="26" fillId="5" borderId="0" xfId="0" applyNumberFormat="1" applyFont="1" applyFill="1" applyAlignment="1">
      <alignment vertical="center" wrapText="1"/>
    </xf>
    <xf numFmtId="165" fontId="10" fillId="5" borderId="0" xfId="0" applyNumberFormat="1" applyFont="1" applyFill="1" applyAlignment="1">
      <alignment vertical="center" wrapText="1"/>
    </xf>
    <xf numFmtId="10" fontId="30" fillId="5" borderId="0" xfId="0" applyNumberFormat="1" applyFont="1" applyFill="1" applyAlignment="1">
      <alignment vertical="center"/>
    </xf>
    <xf numFmtId="165" fontId="4" fillId="5" borderId="0" xfId="0" applyNumberFormat="1" applyFont="1" applyFill="1" applyAlignment="1">
      <alignment vertical="center"/>
    </xf>
    <xf numFmtId="165" fontId="31" fillId="5" borderId="0" xfId="0" applyNumberFormat="1" applyFont="1" applyFill="1" applyAlignment="1">
      <alignment vertical="center" wrapText="1"/>
    </xf>
    <xf numFmtId="0" fontId="14" fillId="9" borderId="0" xfId="0" applyFont="1" applyFill="1" applyAlignment="1">
      <alignment horizontal="left" vertical="center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10" fontId="12" fillId="5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9" fontId="12" fillId="0" borderId="4" xfId="0" applyNumberFormat="1" applyFont="1" applyBorder="1" applyAlignment="1" applyProtection="1">
      <alignment horizontal="center" vertical="center"/>
      <protection locked="0"/>
    </xf>
    <xf numFmtId="10" fontId="12" fillId="0" borderId="4" xfId="0" applyNumberFormat="1" applyFont="1" applyBorder="1" applyAlignment="1" applyProtection="1">
      <alignment horizontal="center" vertical="center"/>
      <protection locked="0"/>
    </xf>
    <xf numFmtId="169" fontId="12" fillId="0" borderId="4" xfId="0" applyNumberFormat="1" applyFont="1" applyBorder="1" applyAlignment="1" applyProtection="1">
      <alignment horizontal="center" vertical="center"/>
      <protection locked="0"/>
    </xf>
    <xf numFmtId="165" fontId="12" fillId="0" borderId="4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>
      <alignment horizontal="center" vertical="center"/>
    </xf>
    <xf numFmtId="0" fontId="0" fillId="5" borderId="0" xfId="0" applyFill="1"/>
    <xf numFmtId="0" fontId="2" fillId="4" borderId="0" xfId="0" applyFont="1" applyFill="1" applyAlignment="1">
      <alignment horizontal="center" vertical="center"/>
    </xf>
    <xf numFmtId="9" fontId="2" fillId="4" borderId="10" xfId="2" applyFont="1" applyFill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2" fontId="34" fillId="10" borderId="1" xfId="0" applyNumberFormat="1" applyFont="1" applyFill="1" applyBorder="1" applyAlignment="1">
      <alignment horizontal="center" vertical="center" wrapText="1"/>
    </xf>
    <xf numFmtId="168" fontId="34" fillId="10" borderId="1" xfId="0" applyNumberFormat="1" applyFont="1" applyFill="1" applyBorder="1" applyAlignment="1">
      <alignment horizontal="center" vertical="center" wrapText="1"/>
    </xf>
    <xf numFmtId="168" fontId="34" fillId="10" borderId="27" xfId="0" applyNumberFormat="1" applyFont="1" applyFill="1" applyBorder="1" applyAlignment="1">
      <alignment horizontal="center" vertical="center" wrapText="1"/>
    </xf>
    <xf numFmtId="168" fontId="34" fillId="11" borderId="27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 wrapText="1"/>
    </xf>
    <xf numFmtId="170" fontId="36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/>
    </xf>
    <xf numFmtId="9" fontId="34" fillId="0" borderId="1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2" fontId="0" fillId="5" borderId="0" xfId="0" applyNumberFormat="1" applyFill="1"/>
    <xf numFmtId="0" fontId="35" fillId="5" borderId="0" xfId="0" applyFont="1" applyFill="1"/>
    <xf numFmtId="0" fontId="3" fillId="7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left" vertical="center" indent="1"/>
    </xf>
    <xf numFmtId="9" fontId="4" fillId="9" borderId="41" xfId="0" applyNumberFormat="1" applyFont="1" applyFill="1" applyBorder="1" applyAlignment="1">
      <alignment horizontal="center" vertical="center"/>
    </xf>
    <xf numFmtId="10" fontId="4" fillId="9" borderId="41" xfId="0" applyNumberFormat="1" applyFont="1" applyFill="1" applyBorder="1" applyAlignment="1">
      <alignment horizontal="center" vertical="center"/>
    </xf>
    <xf numFmtId="166" fontId="4" fillId="9" borderId="41" xfId="0" applyNumberFormat="1" applyFont="1" applyFill="1" applyBorder="1" applyAlignment="1">
      <alignment horizontal="center" vertical="center"/>
    </xf>
    <xf numFmtId="165" fontId="4" fillId="9" borderId="41" xfId="0" applyNumberFormat="1" applyFont="1" applyFill="1" applyBorder="1" applyAlignment="1">
      <alignment horizontal="center" vertical="center"/>
    </xf>
    <xf numFmtId="14" fontId="4" fillId="9" borderId="41" xfId="0" applyNumberFormat="1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left" vertical="center" indent="1"/>
    </xf>
    <xf numFmtId="9" fontId="4" fillId="8" borderId="41" xfId="0" applyNumberFormat="1" applyFont="1" applyFill="1" applyBorder="1" applyAlignment="1">
      <alignment horizontal="center" vertical="center"/>
    </xf>
    <xf numFmtId="10" fontId="4" fillId="8" borderId="41" xfId="0" applyNumberFormat="1" applyFont="1" applyFill="1" applyBorder="1" applyAlignment="1">
      <alignment horizontal="center" vertical="center"/>
    </xf>
    <xf numFmtId="166" fontId="4" fillId="8" borderId="41" xfId="0" applyNumberFormat="1" applyFont="1" applyFill="1" applyBorder="1" applyAlignment="1">
      <alignment horizontal="center" vertical="center"/>
    </xf>
    <xf numFmtId="165" fontId="4" fillId="8" borderId="41" xfId="0" applyNumberFormat="1" applyFont="1" applyFill="1" applyBorder="1" applyAlignment="1">
      <alignment horizontal="center" vertical="center"/>
    </xf>
    <xf numFmtId="14" fontId="4" fillId="8" borderId="4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0" fontId="1" fillId="0" borderId="1" xfId="2" applyNumberFormat="1" applyFont="1" applyFill="1" applyBorder="1" applyAlignment="1" applyProtection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9" borderId="0" xfId="0" applyFont="1" applyFill="1" applyAlignment="1">
      <alignment vertical="top" wrapText="1"/>
    </xf>
    <xf numFmtId="164" fontId="0" fillId="5" borderId="0" xfId="1" applyFont="1" applyFill="1"/>
    <xf numFmtId="164" fontId="0" fillId="5" borderId="0" xfId="0" applyNumberFormat="1" applyFill="1"/>
    <xf numFmtId="14" fontId="5" fillId="7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left" vertical="top" wrapText="1"/>
    </xf>
    <xf numFmtId="0" fontId="7" fillId="9" borderId="21" xfId="0" applyFont="1" applyFill="1" applyBorder="1" applyAlignment="1">
      <alignment vertical="center" wrapText="1"/>
    </xf>
    <xf numFmtId="10" fontId="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0" fontId="1" fillId="9" borderId="21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vertical="top" wrapText="1"/>
    </xf>
    <xf numFmtId="0" fontId="4" fillId="9" borderId="0" xfId="0" applyFont="1" applyFill="1" applyAlignment="1">
      <alignment horizontal="left" vertical="top"/>
    </xf>
    <xf numFmtId="0" fontId="4" fillId="9" borderId="0" xfId="0" applyFont="1" applyFill="1" applyAlignment="1">
      <alignment vertical="top"/>
    </xf>
    <xf numFmtId="10" fontId="8" fillId="9" borderId="0" xfId="0" applyNumberFormat="1" applyFont="1" applyFill="1" applyAlignment="1">
      <alignment horizontal="center" vertical="center"/>
    </xf>
    <xf numFmtId="10" fontId="3" fillId="7" borderId="17" xfId="0" applyNumberFormat="1" applyFont="1" applyFill="1" applyBorder="1" applyAlignment="1">
      <alignment horizontal="center" vertical="center"/>
    </xf>
    <xf numFmtId="165" fontId="4" fillId="9" borderId="0" xfId="0" applyNumberFormat="1" applyFont="1" applyFill="1" applyAlignment="1">
      <alignment vertical="center"/>
    </xf>
    <xf numFmtId="0" fontId="3" fillId="7" borderId="45" xfId="0" applyFont="1" applyFill="1" applyBorder="1" applyAlignment="1">
      <alignment horizontal="center" vertical="center"/>
    </xf>
    <xf numFmtId="10" fontId="8" fillId="9" borderId="0" xfId="0" applyNumberFormat="1" applyFont="1" applyFill="1" applyAlignment="1">
      <alignment horizontal="left" vertical="center"/>
    </xf>
    <xf numFmtId="10" fontId="34" fillId="0" borderId="1" xfId="2" applyNumberFormat="1" applyFont="1" applyBorder="1" applyAlignment="1">
      <alignment horizontal="center" vertical="center"/>
    </xf>
    <xf numFmtId="0" fontId="3" fillId="7" borderId="16" xfId="0" applyFont="1" applyFill="1" applyBorder="1" applyAlignment="1">
      <alignment vertical="center"/>
    </xf>
    <xf numFmtId="4" fontId="3" fillId="7" borderId="16" xfId="0" applyNumberFormat="1" applyFont="1" applyFill="1" applyBorder="1" applyAlignment="1">
      <alignment vertical="center"/>
    </xf>
    <xf numFmtId="4" fontId="6" fillId="7" borderId="16" xfId="0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3" fillId="7" borderId="49" xfId="0" applyFont="1" applyFill="1" applyBorder="1" applyAlignment="1">
      <alignment vertical="center"/>
    </xf>
    <xf numFmtId="0" fontId="3" fillId="7" borderId="50" xfId="0" applyFont="1" applyFill="1" applyBorder="1" applyAlignment="1">
      <alignment vertical="center"/>
    </xf>
    <xf numFmtId="0" fontId="3" fillId="7" borderId="15" xfId="0" applyFont="1" applyFill="1" applyBorder="1" applyAlignment="1">
      <alignment horizontal="left" vertical="center" indent="1"/>
    </xf>
    <xf numFmtId="169" fontId="4" fillId="9" borderId="41" xfId="0" applyNumberFormat="1" applyFont="1" applyFill="1" applyBorder="1" applyAlignment="1">
      <alignment horizontal="center" vertical="center"/>
    </xf>
    <xf numFmtId="169" fontId="4" fillId="8" borderId="41" xfId="0" applyNumberFormat="1" applyFont="1" applyFill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 wrapText="1"/>
    </xf>
    <xf numFmtId="1" fontId="36" fillId="0" borderId="1" xfId="1" applyNumberFormat="1" applyFont="1" applyBorder="1" applyAlignment="1">
      <alignment horizontal="center" vertical="center" wrapText="1"/>
    </xf>
    <xf numFmtId="168" fontId="36" fillId="0" borderId="1" xfId="0" applyNumberFormat="1" applyFont="1" applyBorder="1" applyAlignment="1">
      <alignment horizontal="center" vertical="center" wrapText="1"/>
    </xf>
    <xf numFmtId="168" fontId="34" fillId="0" borderId="1" xfId="0" applyNumberFormat="1" applyFont="1" applyBorder="1" applyAlignment="1">
      <alignment horizontal="center" vertical="center"/>
    </xf>
    <xf numFmtId="168" fontId="0" fillId="5" borderId="0" xfId="0" applyNumberFormat="1" applyFill="1"/>
    <xf numFmtId="14" fontId="12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0" fontId="1" fillId="2" borderId="1" xfId="2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9" fontId="1" fillId="5" borderId="4" xfId="0" applyNumberFormat="1" applyFont="1" applyFill="1" applyBorder="1" applyAlignment="1" applyProtection="1">
      <alignment horizontal="center" vertical="center"/>
      <protection locked="0"/>
    </xf>
    <xf numFmtId="10" fontId="1" fillId="5" borderId="4" xfId="0" applyNumberFormat="1" applyFont="1" applyFill="1" applyBorder="1" applyAlignment="1" applyProtection="1">
      <alignment horizontal="center" vertical="center"/>
      <protection locked="0"/>
    </xf>
    <xf numFmtId="165" fontId="1" fillId="5" borderId="4" xfId="0" applyNumberFormat="1" applyFont="1" applyFill="1" applyBorder="1" applyAlignment="1" applyProtection="1">
      <alignment horizontal="center" vertical="center"/>
      <protection locked="0"/>
    </xf>
    <xf numFmtId="14" fontId="1" fillId="5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3" fillId="7" borderId="49" xfId="0" applyFont="1" applyFill="1" applyBorder="1" applyAlignment="1">
      <alignment horizontal="left" vertical="center" indent="1"/>
    </xf>
    <xf numFmtId="0" fontId="3" fillId="7" borderId="17" xfId="0" applyFont="1" applyFill="1" applyBorder="1" applyAlignment="1">
      <alignment horizontal="center" vertical="center" wrapText="1"/>
    </xf>
    <xf numFmtId="167" fontId="5" fillId="7" borderId="0" xfId="0" applyNumberFormat="1" applyFont="1" applyFill="1" applyAlignment="1">
      <alignment horizontal="right" vertical="center"/>
    </xf>
    <xf numFmtId="0" fontId="3" fillId="7" borderId="28" xfId="0" applyFont="1" applyFill="1" applyBorder="1" applyAlignment="1">
      <alignment horizontal="left" vertical="center"/>
    </xf>
    <xf numFmtId="0" fontId="3" fillId="7" borderId="29" xfId="0" applyFont="1" applyFill="1" applyBorder="1" applyAlignment="1">
      <alignment horizontal="left" vertical="center"/>
    </xf>
    <xf numFmtId="4" fontId="3" fillId="7" borderId="48" xfId="0" applyNumberFormat="1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left" vertical="center" indent="1"/>
    </xf>
    <xf numFmtId="0" fontId="3" fillId="7" borderId="42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165" fontId="4" fillId="9" borderId="42" xfId="0" applyNumberFormat="1" applyFont="1" applyFill="1" applyBorder="1" applyAlignment="1">
      <alignment horizontal="center" vertical="center"/>
    </xf>
    <xf numFmtId="165" fontId="4" fillId="9" borderId="44" xfId="0" applyNumberFormat="1" applyFont="1" applyFill="1" applyBorder="1" applyAlignment="1">
      <alignment horizontal="center" vertical="center"/>
    </xf>
    <xf numFmtId="165" fontId="4" fillId="9" borderId="43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14" fontId="5" fillId="7" borderId="0" xfId="0" applyNumberFormat="1" applyFont="1" applyFill="1" applyAlignment="1">
      <alignment horizontal="center" vertical="center"/>
    </xf>
    <xf numFmtId="0" fontId="4" fillId="9" borderId="24" xfId="0" applyFont="1" applyFill="1" applyBorder="1" applyAlignment="1">
      <alignment horizontal="left" vertical="top" wrapText="1"/>
    </xf>
    <xf numFmtId="10" fontId="8" fillId="9" borderId="0" xfId="0" applyNumberFormat="1" applyFont="1" applyFill="1" applyAlignment="1">
      <alignment horizontal="left" vertical="center"/>
    </xf>
    <xf numFmtId="10" fontId="9" fillId="9" borderId="0" xfId="0" applyNumberFormat="1" applyFont="1" applyFill="1" applyAlignment="1">
      <alignment horizontal="center" vertical="center"/>
    </xf>
    <xf numFmtId="0" fontId="38" fillId="9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vertical="center" wrapText="1"/>
    </xf>
    <xf numFmtId="0" fontId="38" fillId="9" borderId="0" xfId="0" applyFont="1" applyFill="1" applyAlignment="1">
      <alignment horizontal="left" vertical="top" wrapText="1"/>
    </xf>
    <xf numFmtId="0" fontId="3" fillId="7" borderId="47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9"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05FC1ED7-FCC0-4984-9CF4-3A0386A55F24}"/>
  </tableStyles>
  <colors>
    <mruColors>
      <color rgb="FF1827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edsbuildingsociety.co.uk/intermediaries/contact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g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23</xdr:col>
      <xdr:colOff>0</xdr:colOff>
      <xdr:row>21</xdr:row>
      <xdr:rowOff>120651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9E10E2-9068-44CC-BA11-A7CB027D09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" y="0"/>
          <a:ext cx="10378328" cy="5241739"/>
        </a:xfrm>
        <a:prstGeom prst="rect">
          <a:avLst/>
        </a:prstGeom>
      </xdr:spPr>
    </xdr:pic>
    <xdr:clientData/>
  </xdr:twoCellAnchor>
  <xdr:twoCellAnchor>
    <xdr:from>
      <xdr:col>4</xdr:col>
      <xdr:colOff>20731</xdr:colOff>
      <xdr:row>0</xdr:row>
      <xdr:rowOff>138207</xdr:rowOff>
    </xdr:from>
    <xdr:to>
      <xdr:col>18</xdr:col>
      <xdr:colOff>448235</xdr:colOff>
      <xdr:row>1</xdr:row>
      <xdr:rowOff>175745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6A3379-F1A4-4572-B862-3D420CF339B2}"/>
            </a:ext>
          </a:extLst>
        </xdr:cNvPr>
        <xdr:cNvSpPr txBox="1"/>
      </xdr:nvSpPr>
      <xdr:spPr>
        <a:xfrm>
          <a:off x="1792381" y="138207"/>
          <a:ext cx="7450604" cy="272488"/>
        </a:xfrm>
        <a:prstGeom prst="rect">
          <a:avLst/>
        </a:prstGeom>
        <a:solidFill>
          <a:schemeClr val="lt1"/>
        </a:solidFill>
        <a:ln w="9525" cmpd="sng">
          <a:solidFill>
            <a:srgbClr val="18274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9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This is for internal or intermediary use only, and should not be distributed to potential borrowers or other customers.</a:t>
          </a:r>
        </a:p>
      </xdr:txBody>
    </xdr:sp>
    <xdr:clientData/>
  </xdr:twoCellAnchor>
  <xdr:twoCellAnchor>
    <xdr:from>
      <xdr:col>0</xdr:col>
      <xdr:colOff>358775</xdr:colOff>
      <xdr:row>5</xdr:row>
      <xdr:rowOff>15875</xdr:rowOff>
    </xdr:from>
    <xdr:to>
      <xdr:col>9</xdr:col>
      <xdr:colOff>330200</xdr:colOff>
      <xdr:row>16</xdr:row>
      <xdr:rowOff>82550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E7B490-0A4C-4804-95A8-530A67FC825B}"/>
            </a:ext>
          </a:extLst>
        </xdr:cNvPr>
        <xdr:cNvSpPr txBox="1"/>
      </xdr:nvSpPr>
      <xdr:spPr>
        <a:xfrm>
          <a:off x="358775" y="1323975"/>
          <a:ext cx="4251325" cy="288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Mortgage Product Updates </a:t>
          </a:r>
        </a:p>
      </xdr:txBody>
    </xdr:sp>
    <xdr:clientData/>
  </xdr:twoCellAnchor>
  <xdr:twoCellAnchor editAs="oneCell">
    <xdr:from>
      <xdr:col>1</xdr:col>
      <xdr:colOff>12700</xdr:colOff>
      <xdr:row>1</xdr:row>
      <xdr:rowOff>165100</xdr:rowOff>
    </xdr:from>
    <xdr:to>
      <xdr:col>6</xdr:col>
      <xdr:colOff>426554</xdr:colOff>
      <xdr:row>3</xdr:row>
      <xdr:rowOff>244475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80E5B7-8967-4388-8D44-4CB67ADB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00050"/>
          <a:ext cx="2706204" cy="5588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474567</xdr:colOff>
      <xdr:row>33</xdr:row>
      <xdr:rowOff>147918</xdr:rowOff>
    </xdr:from>
    <xdr:to>
      <xdr:col>19</xdr:col>
      <xdr:colOff>191434</xdr:colOff>
      <xdr:row>35</xdr:row>
      <xdr:rowOff>149329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2FA12F-50BE-45F1-8CE5-4CFE10D80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2717" y="7869518"/>
          <a:ext cx="2240992" cy="480836"/>
        </a:xfrm>
        <a:prstGeom prst="rect">
          <a:avLst/>
        </a:prstGeom>
      </xdr:spPr>
    </xdr:pic>
    <xdr:clientData/>
  </xdr:twoCellAnchor>
  <xdr:twoCellAnchor editAs="oneCell">
    <xdr:from>
      <xdr:col>14</xdr:col>
      <xdr:colOff>481292</xdr:colOff>
      <xdr:row>36</xdr:row>
      <xdr:rowOff>56029</xdr:rowOff>
    </xdr:from>
    <xdr:to>
      <xdr:col>19</xdr:col>
      <xdr:colOff>199278</xdr:colOff>
      <xdr:row>38</xdr:row>
      <xdr:rowOff>64433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6EF24B-8C3A-4AD1-B898-D4D02C11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442" y="8482479"/>
          <a:ext cx="2242111" cy="487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</xdr:colOff>
      <xdr:row>2</xdr:row>
      <xdr:rowOff>16677</xdr:rowOff>
    </xdr:to>
    <xdr:sp macro="[0]!ProducerFilter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4706471" y="235324"/>
          <a:ext cx="941295" cy="252000"/>
        </a:xfrm>
        <a:prstGeom prst="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Filter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</xdr:colOff>
      <xdr:row>2</xdr:row>
      <xdr:rowOff>16677</xdr:rowOff>
    </xdr:to>
    <xdr:sp macro="[0]!ProducerGenerate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589059" y="235324"/>
          <a:ext cx="941295" cy="252000"/>
        </a:xfrm>
        <a:prstGeom prst="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Generate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1</xdr:colOff>
      <xdr:row>2</xdr:row>
      <xdr:rowOff>16677</xdr:rowOff>
    </xdr:to>
    <xdr:sp macro="[0]!ProducerEmergency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471647" y="235324"/>
          <a:ext cx="941295" cy="252000"/>
        </a:xfrm>
        <a:prstGeom prst="rect">
          <a:avLst/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999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1</xdr:colOff>
      <xdr:row>2</xdr:row>
      <xdr:rowOff>16677</xdr:rowOff>
    </xdr:to>
    <xdr:sp macro="[0]!ProducerHelpShow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0354235" y="235324"/>
          <a:ext cx="941295" cy="252000"/>
        </a:xfrm>
        <a:prstGeom prst="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Help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6</xdr:col>
      <xdr:colOff>22412</xdr:colOff>
      <xdr:row>8</xdr:row>
      <xdr:rowOff>156882</xdr:rowOff>
    </xdr:to>
    <xdr:sp macro="[0]!DesignerFilter" textlink="">
      <xdr:nvSpPr>
        <xdr:cNvPr id="3" name="Rectangle 2">
          <a:extLst>
            <a:ext uri="{FF2B5EF4-FFF2-40B4-BE49-F238E27FC236}">
              <a16:creationId xmlns:a16="http://schemas.microsoft.com/office/drawing/2014/main" id="{952A6D6D-D6B9-4245-9869-060F7406236C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0">
              <a:latin typeface="Arial" panose="020B0604020202020204" pitchFamily="34" charset="0"/>
              <a:cs typeface="Arial" panose="020B0604020202020204" pitchFamily="34" charset="0"/>
            </a:rPr>
            <a:t>APPLY</a:t>
          </a:r>
        </a:p>
      </xdr:txBody>
    </xdr:sp>
    <xdr:clientData/>
  </xdr:twoCellAnchor>
  <xdr:twoCellAnchor>
    <xdr:from>
      <xdr:col>4</xdr:col>
      <xdr:colOff>0</xdr:colOff>
      <xdr:row>13</xdr:row>
      <xdr:rowOff>78443</xdr:rowOff>
    </xdr:from>
    <xdr:to>
      <xdr:col>6</xdr:col>
      <xdr:colOff>22412</xdr:colOff>
      <xdr:row>15</xdr:row>
      <xdr:rowOff>1</xdr:rowOff>
    </xdr:to>
    <xdr:sp macro="[0]!DesignerClear" textlink="">
      <xdr:nvSpPr>
        <xdr:cNvPr id="4" name="Rectangle 3">
          <a:extLst>
            <a:ext uri="{FF2B5EF4-FFF2-40B4-BE49-F238E27FC236}">
              <a16:creationId xmlns:a16="http://schemas.microsoft.com/office/drawing/2014/main" id="{E71C4831-8A95-4D2A-95C9-80965AF85F1C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CLEAR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831477</xdr:colOff>
      <xdr:row>3</xdr:row>
      <xdr:rowOff>78441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777AC8-889C-4DBB-8D05-4C0A2D51B9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38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190502</xdr:colOff>
      <xdr:row>27</xdr:row>
      <xdr:rowOff>0</xdr:rowOff>
    </xdr:from>
    <xdr:to>
      <xdr:col>10</xdr:col>
      <xdr:colOff>649944</xdr:colOff>
      <xdr:row>28</xdr:row>
      <xdr:rowOff>16677</xdr:rowOff>
    </xdr:to>
    <xdr:sp macro="[0]!DesignerFinalise" textlink="">
      <xdr:nvSpPr>
        <xdr:cNvPr id="2" name="Rectangle 1">
          <a:extLst>
            <a:ext uri="{FF2B5EF4-FFF2-40B4-BE49-F238E27FC236}">
              <a16:creationId xmlns:a16="http://schemas.microsoft.com/office/drawing/2014/main" id="{69045C1E-F28A-48E2-A7DA-AEE887138150}"/>
            </a:ext>
          </a:extLst>
        </xdr:cNvPr>
        <xdr:cNvSpPr/>
      </xdr:nvSpPr>
      <xdr:spPr>
        <a:xfrm>
          <a:off x="11715752" y="1571625"/>
          <a:ext cx="1030942" cy="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FINALISE B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6</xdr:col>
      <xdr:colOff>22412</xdr:colOff>
      <xdr:row>8</xdr:row>
      <xdr:rowOff>156882</xdr:rowOff>
    </xdr:to>
    <xdr:sp macro="[0]!DesignerFilterNew" textlink="">
      <xdr:nvSpPr>
        <xdr:cNvPr id="3" name="Rectangle 2">
          <a:extLst>
            <a:ext uri="{FF2B5EF4-FFF2-40B4-BE49-F238E27FC236}">
              <a16:creationId xmlns:a16="http://schemas.microsoft.com/office/drawing/2014/main" id="{B8AB1FFC-671E-41D7-854F-96CF5C52676D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0">
              <a:latin typeface="Arial" panose="020B0604020202020204" pitchFamily="34" charset="0"/>
              <a:cs typeface="Arial" panose="020B0604020202020204" pitchFamily="34" charset="0"/>
            </a:rPr>
            <a:t>APPLY</a:t>
          </a:r>
        </a:p>
      </xdr:txBody>
    </xdr:sp>
    <xdr:clientData/>
  </xdr:twoCellAnchor>
  <xdr:twoCellAnchor>
    <xdr:from>
      <xdr:col>4</xdr:col>
      <xdr:colOff>0</xdr:colOff>
      <xdr:row>13</xdr:row>
      <xdr:rowOff>78443</xdr:rowOff>
    </xdr:from>
    <xdr:to>
      <xdr:col>6</xdr:col>
      <xdr:colOff>22412</xdr:colOff>
      <xdr:row>15</xdr:row>
      <xdr:rowOff>1</xdr:rowOff>
    </xdr:to>
    <xdr:sp macro="[0]!DesignerClearNew" textlink="">
      <xdr:nvSpPr>
        <xdr:cNvPr id="4" name="Rectangle 3">
          <a:extLst>
            <a:ext uri="{FF2B5EF4-FFF2-40B4-BE49-F238E27FC236}">
              <a16:creationId xmlns:a16="http://schemas.microsoft.com/office/drawing/2014/main" id="{EDD0AE0D-C855-445C-8D1C-0D0D3D08EC76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CLEAR</a:t>
          </a:r>
        </a:p>
      </xdr:txBody>
    </xdr:sp>
    <xdr:clientData/>
  </xdr:twoCellAnchor>
  <xdr:twoCellAnchor>
    <xdr:from>
      <xdr:col>8</xdr:col>
      <xdr:colOff>100855</xdr:colOff>
      <xdr:row>27</xdr:row>
      <xdr:rowOff>1</xdr:rowOff>
    </xdr:from>
    <xdr:to>
      <xdr:col>9</xdr:col>
      <xdr:colOff>89650</xdr:colOff>
      <xdr:row>28</xdr:row>
      <xdr:rowOff>16678</xdr:rowOff>
    </xdr:to>
    <xdr:sp macro="[0]!DesignerFinaliseDMU" textlink="">
      <xdr:nvSpPr>
        <xdr:cNvPr id="5" name="Rectangle 4">
          <a:extLst>
            <a:ext uri="{FF2B5EF4-FFF2-40B4-BE49-F238E27FC236}">
              <a16:creationId xmlns:a16="http://schemas.microsoft.com/office/drawing/2014/main" id="{4A05F825-697E-44B7-AACB-27A2F2CB4215}"/>
            </a:ext>
          </a:extLst>
        </xdr:cNvPr>
        <xdr:cNvSpPr/>
      </xdr:nvSpPr>
      <xdr:spPr>
        <a:xfrm>
          <a:off x="10587880" y="1571625"/>
          <a:ext cx="1027020" cy="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FINALISE A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831477</xdr:colOff>
      <xdr:row>3</xdr:row>
      <xdr:rowOff>78441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4CB01E-1C11-4644-8B5C-A8F620D5A9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38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190502</xdr:colOff>
      <xdr:row>27</xdr:row>
      <xdr:rowOff>0</xdr:rowOff>
    </xdr:from>
    <xdr:to>
      <xdr:col>10</xdr:col>
      <xdr:colOff>649944</xdr:colOff>
      <xdr:row>28</xdr:row>
      <xdr:rowOff>16677</xdr:rowOff>
    </xdr:to>
    <xdr:sp macro="[0]!DesignerFinalise" textlink="">
      <xdr:nvSpPr>
        <xdr:cNvPr id="2" name="Rectangle 1">
          <a:extLst>
            <a:ext uri="{FF2B5EF4-FFF2-40B4-BE49-F238E27FC236}">
              <a16:creationId xmlns:a16="http://schemas.microsoft.com/office/drawing/2014/main" id="{19901A9E-0533-437D-B434-FC3C90558EAB}"/>
            </a:ext>
          </a:extLst>
        </xdr:cNvPr>
        <xdr:cNvSpPr/>
      </xdr:nvSpPr>
      <xdr:spPr>
        <a:xfrm>
          <a:off x="11715752" y="1571625"/>
          <a:ext cx="1030942" cy="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FINALISE B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6</xdr:col>
      <xdr:colOff>22412</xdr:colOff>
      <xdr:row>8</xdr:row>
      <xdr:rowOff>156882</xdr:rowOff>
    </xdr:to>
    <xdr:sp macro="[0]!DesignerFilterWD" textlink="">
      <xdr:nvSpPr>
        <xdr:cNvPr id="3" name="Rectangle 2">
          <a:extLst>
            <a:ext uri="{FF2B5EF4-FFF2-40B4-BE49-F238E27FC236}">
              <a16:creationId xmlns:a16="http://schemas.microsoft.com/office/drawing/2014/main" id="{C884A429-B458-44DD-A4C8-226867AE496A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0">
              <a:latin typeface="Arial" panose="020B0604020202020204" pitchFamily="34" charset="0"/>
              <a:cs typeface="Arial" panose="020B0604020202020204" pitchFamily="34" charset="0"/>
            </a:rPr>
            <a:t>APPLY</a:t>
          </a:r>
        </a:p>
      </xdr:txBody>
    </xdr:sp>
    <xdr:clientData/>
  </xdr:twoCellAnchor>
  <xdr:twoCellAnchor>
    <xdr:from>
      <xdr:col>4</xdr:col>
      <xdr:colOff>0</xdr:colOff>
      <xdr:row>13</xdr:row>
      <xdr:rowOff>78443</xdr:rowOff>
    </xdr:from>
    <xdr:to>
      <xdr:col>6</xdr:col>
      <xdr:colOff>22412</xdr:colOff>
      <xdr:row>15</xdr:row>
      <xdr:rowOff>1</xdr:rowOff>
    </xdr:to>
    <xdr:sp macro="[0]!DesignerClearWD" textlink="">
      <xdr:nvSpPr>
        <xdr:cNvPr id="4" name="Rectangle 3">
          <a:extLst>
            <a:ext uri="{FF2B5EF4-FFF2-40B4-BE49-F238E27FC236}">
              <a16:creationId xmlns:a16="http://schemas.microsoft.com/office/drawing/2014/main" id="{3EEDA601-4B27-44E8-ACD2-43F3DB794B54}"/>
            </a:ext>
          </a:extLst>
        </xdr:cNvPr>
        <xdr:cNvSpPr/>
      </xdr:nvSpPr>
      <xdr:spPr>
        <a:xfrm>
          <a:off x="6800850" y="1571625"/>
          <a:ext cx="1165412" cy="0"/>
        </a:xfrm>
        <a:prstGeom prst="rect">
          <a:avLst/>
        </a:prstGeom>
        <a:solidFill>
          <a:srgbClr val="182745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CLEAR</a:t>
          </a:r>
        </a:p>
      </xdr:txBody>
    </xdr:sp>
    <xdr:clientData/>
  </xdr:twoCellAnchor>
  <xdr:twoCellAnchor>
    <xdr:from>
      <xdr:col>8</xdr:col>
      <xdr:colOff>100855</xdr:colOff>
      <xdr:row>27</xdr:row>
      <xdr:rowOff>1</xdr:rowOff>
    </xdr:from>
    <xdr:to>
      <xdr:col>9</xdr:col>
      <xdr:colOff>89650</xdr:colOff>
      <xdr:row>28</xdr:row>
      <xdr:rowOff>16678</xdr:rowOff>
    </xdr:to>
    <xdr:sp macro="[0]!DesignerFinaliseDMU" textlink="">
      <xdr:nvSpPr>
        <xdr:cNvPr id="5" name="Rectangle 4">
          <a:extLst>
            <a:ext uri="{FF2B5EF4-FFF2-40B4-BE49-F238E27FC236}">
              <a16:creationId xmlns:a16="http://schemas.microsoft.com/office/drawing/2014/main" id="{FEB2781A-309D-434A-A97E-A8FDF6488915}"/>
            </a:ext>
          </a:extLst>
        </xdr:cNvPr>
        <xdr:cNvSpPr/>
      </xdr:nvSpPr>
      <xdr:spPr>
        <a:xfrm>
          <a:off x="10587880" y="1571625"/>
          <a:ext cx="1027020" cy="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FINALISE A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831477</xdr:colOff>
      <xdr:row>3</xdr:row>
      <xdr:rowOff>78441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5BD1D5-1705-4664-A23F-86E569479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71500" y="238125"/>
          <a:ext cx="47938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350558</xdr:colOff>
      <xdr:row>3</xdr:row>
      <xdr:rowOff>124473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23D297-A926-4AB8-8664-115D0E903D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20700" y="234950"/>
          <a:ext cx="5065433" cy="600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11</xdr:col>
      <xdr:colOff>18042</xdr:colOff>
      <xdr:row>3</xdr:row>
      <xdr:rowOff>123838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5F1C0E-97C7-4070-833A-BB3C82434D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20700" y="234950"/>
          <a:ext cx="5256792" cy="60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11</xdr:col>
      <xdr:colOff>18042</xdr:colOff>
      <xdr:row>3</xdr:row>
      <xdr:rowOff>114948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3E7817-9128-4BE5-AC8C-1E977045E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20700" y="234950"/>
          <a:ext cx="5256792" cy="5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KTGDIR\Products\Mortgages\Product%20Matrix\Ignite%20Product%20Sheet%20V10.xlsx" TargetMode="External"/><Relationship Id="rId1" Type="http://schemas.openxmlformats.org/officeDocument/2006/relationships/externalLinkPath" Target="file:///\\apps1\deptwork\MKTGDIR\Products\Mortgages\Product%20Matrix\Ignite%20Product%20Sheet%20V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s"/>
      <sheetName val="SF Product Sheet"/>
    </sheetNames>
    <sheetDataSet>
      <sheetData sheetId="0">
        <row r="2">
          <cell r="A2" t="str">
            <v>Fixed</v>
          </cell>
          <cell r="B2" t="str">
            <v>Also available</v>
          </cell>
          <cell r="C2" t="str">
            <v>CI</v>
          </cell>
          <cell r="D2" t="str">
            <v>Yes</v>
          </cell>
          <cell r="E2" t="str">
            <v>Residential</v>
          </cell>
          <cell r="F2" t="str">
            <v>Purchase</v>
          </cell>
          <cell r="G2" t="str">
            <v>FirstTimeBuyer</v>
          </cell>
        </row>
        <row r="3">
          <cell r="A3" t="str">
            <v>Stepped Fixed</v>
          </cell>
          <cell r="B3" t="str">
            <v>Only available</v>
          </cell>
          <cell r="C3" t="str">
            <v>IO</v>
          </cell>
          <cell r="D3" t="str">
            <v>No</v>
          </cell>
          <cell r="E3" t="str">
            <v>BuyToLet</v>
          </cell>
          <cell r="F3" t="str">
            <v>Remortgage</v>
          </cell>
          <cell r="G3" t="str">
            <v>HomeMover</v>
          </cell>
        </row>
        <row r="4">
          <cell r="A4" t="str">
            <v>Discount</v>
          </cell>
          <cell r="B4" t="str">
            <v>No</v>
          </cell>
          <cell r="C4" t="str">
            <v>CI,IO</v>
          </cell>
          <cell r="F4" t="str">
            <v>Purchase,Remortgage</v>
          </cell>
          <cell r="G4" t="str">
            <v>ProductTransfer</v>
          </cell>
        </row>
        <row r="5">
          <cell r="A5" t="str">
            <v>Tracker</v>
          </cell>
          <cell r="F5" t="str">
            <v>SecondCharge</v>
          </cell>
          <cell r="G5" t="str">
            <v>FirstTimeBuyer,HomeMover</v>
          </cell>
        </row>
        <row r="6">
          <cell r="A6" t="str">
            <v>Variable</v>
          </cell>
          <cell r="G6" t="str">
            <v>FirstTimeBuyer,HomeMover,ProductTransfer</v>
          </cell>
        </row>
        <row r="7">
          <cell r="G7" t="str">
            <v>HomeMover,ProductTransfer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625A-17E2-4379-AB7C-F8F85DD0A632}">
  <sheetPr codeName="Introduction1">
    <pageSetUpPr fitToPage="1"/>
  </sheetPr>
  <dimension ref="A1:XFC58"/>
  <sheetViews>
    <sheetView tabSelected="1" showWhiteSpace="0" topLeftCell="A19" zoomScale="85" zoomScaleNormal="85" zoomScaleSheetLayoutView="100" workbookViewId="0">
      <selection activeCell="C37" sqref="C37"/>
    </sheetView>
  </sheetViews>
  <sheetFormatPr defaultColWidth="0" defaultRowHeight="0" customHeight="1" zeroHeight="1" x14ac:dyDescent="0.35"/>
  <cols>
    <col min="1" max="3" width="7.1796875" style="40" customWidth="1"/>
    <col min="4" max="4" width="3.81640625" style="40" customWidth="1"/>
    <col min="5" max="20" width="7.1796875" style="40" customWidth="1"/>
    <col min="21" max="21" width="5.1796875" style="40" customWidth="1"/>
    <col min="22" max="22" width="2.453125" style="40" customWidth="1"/>
    <col min="23" max="23" width="7.1796875" style="41" customWidth="1"/>
    <col min="24" max="16383" width="9.1796875" style="10" hidden="1"/>
    <col min="16384" max="16384" width="1.54296875" style="10" hidden="1" customWidth="1"/>
  </cols>
  <sheetData>
    <row r="1" spans="1:23" ht="18.7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8.75" customHeight="1" x14ac:dyDescent="0.35">
      <c r="A2" s="32"/>
      <c r="B2" s="32"/>
      <c r="C2" s="32"/>
      <c r="D2" s="32"/>
      <c r="E2" s="32"/>
      <c r="F2" s="32"/>
      <c r="G2" s="68"/>
      <c r="H2" s="232"/>
      <c r="I2" s="232"/>
      <c r="J2" s="232"/>
      <c r="K2" s="232"/>
      <c r="L2" s="232"/>
      <c r="M2" s="232"/>
      <c r="N2" s="232"/>
      <c r="O2" s="232"/>
      <c r="P2" s="232"/>
      <c r="Q2" s="69"/>
      <c r="R2" s="69"/>
      <c r="S2" s="69"/>
      <c r="T2" s="69"/>
      <c r="U2" s="70"/>
      <c r="V2" s="32"/>
      <c r="W2" s="32"/>
    </row>
    <row r="3" spans="1:23" ht="18.75" customHeight="1" x14ac:dyDescent="0.35">
      <c r="A3" s="32"/>
      <c r="B3" s="32"/>
      <c r="C3" s="32"/>
      <c r="D3" s="32"/>
      <c r="E3" s="32"/>
      <c r="F3" s="32"/>
      <c r="G3" s="32"/>
      <c r="H3" s="232"/>
      <c r="I3" s="232"/>
      <c r="J3" s="232"/>
      <c r="K3" s="232"/>
      <c r="L3" s="232"/>
      <c r="M3" s="232"/>
      <c r="N3" s="232"/>
      <c r="O3" s="232"/>
      <c r="P3" s="232"/>
    </row>
    <row r="4" spans="1:23" ht="35.25" customHeight="1" x14ac:dyDescent="0.9">
      <c r="A4" s="32"/>
      <c r="B4" s="32"/>
      <c r="C4" s="32"/>
      <c r="D4" s="32"/>
      <c r="E4" s="71"/>
      <c r="F4" s="32"/>
      <c r="G4" s="32"/>
      <c r="H4" s="69"/>
      <c r="I4" s="69"/>
      <c r="J4" s="69"/>
      <c r="K4" s="69"/>
      <c r="L4" s="69"/>
      <c r="M4" s="69"/>
      <c r="N4" s="69"/>
      <c r="O4" s="69"/>
      <c r="P4" s="69"/>
    </row>
    <row r="5" spans="1:23" ht="12.5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3" ht="18.75" customHeight="1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4.75" customHeight="1" x14ac:dyDescent="0.35">
      <c r="A7" s="32"/>
      <c r="B7" s="32"/>
      <c r="C7" s="32"/>
      <c r="D7" s="32"/>
      <c r="E7" s="50"/>
      <c r="F7" s="32"/>
      <c r="G7" s="32"/>
      <c r="H7" s="72"/>
      <c r="I7" s="72"/>
      <c r="J7" s="72"/>
      <c r="K7" s="72"/>
      <c r="L7" s="32"/>
      <c r="M7" s="73"/>
      <c r="N7" s="73"/>
      <c r="O7" s="73"/>
      <c r="P7" s="73"/>
      <c r="Q7" s="73"/>
      <c r="R7" s="32"/>
      <c r="S7" s="32"/>
      <c r="T7" s="32"/>
      <c r="U7" s="32"/>
      <c r="V7" s="72"/>
      <c r="W7" s="72"/>
    </row>
    <row r="8" spans="1:23" ht="37.5" customHeight="1" x14ac:dyDescent="0.35">
      <c r="A8" s="35"/>
      <c r="B8" s="32"/>
      <c r="C8" s="32"/>
      <c r="D8" s="32"/>
      <c r="E8" s="54"/>
      <c r="F8" s="5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2"/>
      <c r="S8" s="32"/>
      <c r="T8" s="32"/>
      <c r="U8" s="32"/>
      <c r="V8" s="35"/>
      <c r="W8" s="35"/>
    </row>
    <row r="9" spans="1:23" ht="12" customHeight="1" x14ac:dyDescent="0.35">
      <c r="A9" s="35"/>
      <c r="B9" s="67"/>
      <c r="C9" s="67"/>
      <c r="D9" s="67"/>
      <c r="E9" s="54"/>
      <c r="F9" s="5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2"/>
      <c r="S9" s="32"/>
      <c r="T9" s="32"/>
      <c r="U9" s="32"/>
      <c r="V9" s="35"/>
      <c r="W9" s="35"/>
    </row>
    <row r="10" spans="1:23" ht="18.75" customHeight="1" x14ac:dyDescent="0.35">
      <c r="A10" s="32"/>
      <c r="B10" s="50"/>
      <c r="C10" s="50"/>
      <c r="D10" s="50"/>
      <c r="E10" s="50"/>
      <c r="F10" s="5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74"/>
    </row>
    <row r="11" spans="1:23" ht="18.75" customHeight="1" x14ac:dyDescent="0.35">
      <c r="A11" s="32"/>
      <c r="B11" s="75"/>
      <c r="C11" s="75"/>
      <c r="D11" s="75"/>
      <c r="E11" s="75"/>
      <c r="F11" s="76"/>
      <c r="G11" s="76"/>
      <c r="H11" s="76"/>
      <c r="I11" s="77"/>
      <c r="J11" s="75"/>
      <c r="K11" s="75"/>
      <c r="L11" s="75"/>
      <c r="M11" s="75"/>
      <c r="N11" s="76"/>
      <c r="O11" s="76"/>
      <c r="P11" s="76"/>
      <c r="Q11" s="78"/>
      <c r="R11" s="78"/>
      <c r="S11" s="78"/>
      <c r="T11" s="78"/>
      <c r="U11" s="78"/>
      <c r="V11" s="78"/>
      <c r="W11" s="74"/>
    </row>
    <row r="12" spans="1:23" ht="18.75" customHeight="1" x14ac:dyDescent="0.35">
      <c r="A12" s="32"/>
      <c r="B12" s="75"/>
      <c r="C12" s="75"/>
      <c r="D12" s="79"/>
      <c r="E12" s="79"/>
      <c r="F12" s="76"/>
      <c r="G12" s="76"/>
      <c r="H12" s="76"/>
      <c r="I12" s="77"/>
      <c r="J12" s="80"/>
      <c r="K12" s="80"/>
      <c r="L12" s="78"/>
      <c r="M12" s="78"/>
      <c r="N12" s="76"/>
      <c r="O12" s="76"/>
      <c r="P12" s="76"/>
      <c r="Q12" s="78"/>
      <c r="R12" s="78"/>
      <c r="S12" s="78"/>
      <c r="T12" s="78"/>
      <c r="U12" s="78"/>
      <c r="V12" s="78"/>
      <c r="W12" s="32"/>
    </row>
    <row r="13" spans="1:23" ht="18.75" customHeight="1" x14ac:dyDescent="0.4">
      <c r="A13" s="32"/>
      <c r="B13" s="75"/>
      <c r="C13" s="75"/>
      <c r="D13" s="79"/>
      <c r="E13" s="79"/>
      <c r="F13" s="32"/>
      <c r="G13" s="32"/>
      <c r="H13" s="32"/>
      <c r="I13" s="77"/>
      <c r="J13" s="77"/>
      <c r="K13" s="81"/>
      <c r="L13" s="32"/>
      <c r="M13" s="8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ht="18.75" customHeight="1" x14ac:dyDescent="0.35">
      <c r="A14" s="32"/>
      <c r="B14" s="75"/>
      <c r="C14" s="75"/>
      <c r="D14" s="79"/>
      <c r="E14" s="79"/>
      <c r="F14" s="32"/>
      <c r="G14" s="32"/>
      <c r="H14" s="32"/>
      <c r="I14" s="77"/>
      <c r="J14" s="77"/>
      <c r="K14" s="32"/>
      <c r="L14" s="32"/>
      <c r="M14" s="8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18.75" customHeight="1" x14ac:dyDescent="0.35">
      <c r="A15" s="32"/>
      <c r="B15" s="83"/>
      <c r="C15" s="75"/>
      <c r="D15" s="79"/>
      <c r="E15" s="79"/>
      <c r="F15" s="32"/>
      <c r="G15" s="55"/>
      <c r="H15" s="32"/>
      <c r="I15" s="77"/>
      <c r="J15" s="77"/>
      <c r="K15" s="32"/>
      <c r="L15" s="32"/>
      <c r="M15" s="8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ht="18.75" customHeight="1" x14ac:dyDescent="0.35">
      <c r="A16" s="32"/>
      <c r="B16" s="233"/>
      <c r="C16" s="233"/>
      <c r="D16" s="233"/>
      <c r="E16" s="233"/>
      <c r="F16" s="32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74"/>
    </row>
    <row r="17" spans="1:26" ht="18.75" customHeight="1" x14ac:dyDescent="0.35">
      <c r="A17" s="32"/>
      <c r="B17" s="84"/>
      <c r="C17" s="84"/>
      <c r="D17" s="84"/>
      <c r="E17" s="84"/>
      <c r="F17" s="32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32"/>
    </row>
    <row r="18" spans="1:26" ht="18.75" customHeight="1" x14ac:dyDescent="0.35">
      <c r="A18" s="32"/>
      <c r="B18" s="84"/>
      <c r="C18" s="84"/>
      <c r="D18" s="84"/>
      <c r="E18" s="84"/>
      <c r="F18" s="32"/>
      <c r="G18" s="8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32"/>
    </row>
    <row r="19" spans="1:26" s="41" customFormat="1" ht="18.75" customHeight="1" x14ac:dyDescent="0.35">
      <c r="A19" s="32"/>
      <c r="B19" s="75"/>
      <c r="C19" s="75"/>
      <c r="D19" s="79"/>
      <c r="E19" s="79"/>
      <c r="F19" s="32"/>
      <c r="G19" s="32"/>
      <c r="H19" s="32"/>
      <c r="I19" s="77"/>
      <c r="J19" s="77"/>
      <c r="K19" s="32"/>
      <c r="L19" s="32"/>
      <c r="M19" s="8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6" s="41" customFormat="1" ht="10.5" customHeight="1" x14ac:dyDescent="0.35">
      <c r="A20" s="32"/>
      <c r="B20" s="75"/>
      <c r="C20" s="75"/>
      <c r="D20" s="79"/>
      <c r="E20" s="79"/>
      <c r="F20" s="32"/>
      <c r="G20" s="32"/>
      <c r="H20" s="32"/>
      <c r="I20" s="77"/>
      <c r="J20" s="77"/>
      <c r="K20" s="32"/>
      <c r="L20" s="32"/>
      <c r="M20" s="82"/>
      <c r="N20" s="32"/>
      <c r="O20" s="32"/>
      <c r="P20" s="80"/>
      <c r="Q20" s="80"/>
      <c r="R20" s="80"/>
      <c r="S20" s="80"/>
      <c r="T20" s="80"/>
      <c r="U20" s="80"/>
      <c r="V20" s="80"/>
      <c r="W20" s="32"/>
    </row>
    <row r="21" spans="1:26" s="41" customFormat="1" ht="10.5" customHeight="1" x14ac:dyDescent="0.35">
      <c r="A21" s="32"/>
      <c r="B21" s="75"/>
      <c r="C21" s="75"/>
      <c r="D21" s="79"/>
      <c r="E21" s="79"/>
      <c r="F21" s="32"/>
      <c r="G21" s="32"/>
      <c r="H21" s="32"/>
      <c r="I21" s="77"/>
      <c r="J21" s="77"/>
      <c r="K21" s="32"/>
      <c r="L21" s="32"/>
      <c r="M21" s="82"/>
      <c r="N21" s="32"/>
      <c r="O21" s="32"/>
      <c r="P21" s="80"/>
      <c r="Q21" s="80"/>
      <c r="R21" s="80"/>
      <c r="S21" s="80"/>
      <c r="T21" s="80"/>
      <c r="U21" s="80"/>
      <c r="V21" s="80"/>
      <c r="W21" s="32"/>
    </row>
    <row r="22" spans="1:26" s="41" customFormat="1" ht="10.5" customHeight="1" x14ac:dyDescent="0.35">
      <c r="A22" s="32"/>
      <c r="B22" s="75"/>
      <c r="C22" s="75"/>
      <c r="D22" s="79"/>
      <c r="E22" s="79"/>
      <c r="F22" s="32"/>
      <c r="G22" s="32"/>
      <c r="H22" s="32"/>
      <c r="I22" s="77"/>
      <c r="J22" s="77"/>
      <c r="K22" s="32"/>
      <c r="L22" s="32"/>
      <c r="M22" s="82"/>
      <c r="N22" s="32"/>
      <c r="O22" s="32"/>
      <c r="P22" s="80"/>
      <c r="Q22" s="80"/>
      <c r="R22" s="80"/>
      <c r="S22" s="80"/>
      <c r="T22" s="80"/>
      <c r="U22" s="80"/>
      <c r="V22" s="80"/>
      <c r="W22" s="32"/>
    </row>
    <row r="23" spans="1:26" s="41" customFormat="1" ht="18.75" customHeight="1" x14ac:dyDescent="0.35">
      <c r="A23" s="32"/>
      <c r="B23" s="32"/>
      <c r="C23" s="32"/>
      <c r="D23" s="32"/>
      <c r="E23" s="87"/>
      <c r="F23" s="87"/>
      <c r="G23" s="87"/>
      <c r="H23" s="32"/>
      <c r="I23" s="87"/>
      <c r="J23" s="87"/>
      <c r="K23" s="32"/>
      <c r="L23" s="78"/>
      <c r="M23" s="78"/>
      <c r="N23" s="78"/>
      <c r="O23" s="78"/>
      <c r="P23" s="80"/>
      <c r="Q23" s="80"/>
      <c r="R23" s="80"/>
      <c r="S23" s="80"/>
      <c r="T23" s="80"/>
      <c r="U23" s="80"/>
      <c r="V23" s="80"/>
      <c r="W23" s="32"/>
    </row>
    <row r="24" spans="1:26" s="41" customFormat="1" ht="21.75" customHeight="1" x14ac:dyDescent="0.35">
      <c r="A24" s="88"/>
      <c r="B24" s="89" t="s">
        <v>286</v>
      </c>
      <c r="C24" s="90"/>
      <c r="D24" s="90"/>
      <c r="E24" s="90"/>
      <c r="F24" s="90"/>
      <c r="G24" s="90"/>
      <c r="H24" s="91"/>
      <c r="I24" s="92"/>
      <c r="J24" s="93"/>
      <c r="K24" s="94"/>
      <c r="L24" s="91"/>
      <c r="M24" s="91"/>
      <c r="N24" s="91"/>
      <c r="O24" s="95"/>
      <c r="P24" s="93"/>
      <c r="Q24" s="90"/>
      <c r="R24" s="93"/>
      <c r="S24" s="93"/>
      <c r="T24" s="96"/>
      <c r="U24" s="97"/>
      <c r="V24" s="98"/>
      <c r="W24" s="32"/>
    </row>
    <row r="25" spans="1:26" s="32" customFormat="1" ht="11.25" customHeight="1" x14ac:dyDescent="0.35">
      <c r="B25" s="50"/>
      <c r="C25" s="99"/>
      <c r="D25" s="99"/>
      <c r="E25" s="99"/>
      <c r="F25" s="99"/>
      <c r="G25" s="99"/>
      <c r="H25" s="100"/>
      <c r="I25" s="100"/>
      <c r="J25" s="99"/>
      <c r="L25" s="92"/>
      <c r="M25" s="92"/>
      <c r="X25" s="55"/>
      <c r="Y25" s="78"/>
      <c r="Z25" s="78"/>
    </row>
    <row r="26" spans="1:26" s="32" customFormat="1" ht="23.25" customHeight="1" x14ac:dyDescent="0.35">
      <c r="B26" s="77" t="s">
        <v>107</v>
      </c>
      <c r="C26" s="77"/>
      <c r="D26" s="77"/>
      <c r="E26" s="77"/>
      <c r="F26" s="77"/>
      <c r="G26" s="77"/>
      <c r="H26" s="99"/>
      <c r="I26" s="101" t="s">
        <v>108</v>
      </c>
      <c r="J26" s="102"/>
      <c r="K26" s="55"/>
      <c r="L26" s="103"/>
      <c r="M26" s="103"/>
      <c r="P26" s="104" t="s">
        <v>191</v>
      </c>
      <c r="X26" s="80"/>
      <c r="Y26" s="80"/>
      <c r="Z26" s="80"/>
    </row>
    <row r="27" spans="1:26" s="32" customFormat="1" ht="11.25" customHeight="1" x14ac:dyDescent="0.35">
      <c r="B27" s="105"/>
      <c r="C27" s="105"/>
      <c r="D27" s="105"/>
      <c r="E27" s="105"/>
      <c r="F27" s="105"/>
      <c r="G27" s="105"/>
      <c r="H27" s="99"/>
      <c r="I27" s="106"/>
      <c r="J27" s="106"/>
      <c r="K27" s="107"/>
      <c r="L27" s="108"/>
      <c r="M27" s="108"/>
      <c r="N27" s="107"/>
      <c r="P27" s="109"/>
      <c r="Q27" s="109"/>
      <c r="R27" s="109"/>
      <c r="S27" s="109"/>
      <c r="T27" s="109"/>
      <c r="U27" s="109"/>
      <c r="V27" s="109"/>
      <c r="X27" s="80"/>
      <c r="Y27" s="80"/>
      <c r="Z27" s="80"/>
    </row>
    <row r="28" spans="1:26" s="32" customFormat="1" ht="18.75" customHeight="1" x14ac:dyDescent="0.35">
      <c r="B28" s="110"/>
      <c r="C28" s="110"/>
      <c r="D28" s="110"/>
      <c r="E28" s="110"/>
      <c r="F28" s="110"/>
      <c r="G28" s="50"/>
      <c r="H28" s="50"/>
      <c r="O28" s="111"/>
      <c r="P28" s="111"/>
      <c r="Q28" s="111"/>
      <c r="U28" s="112"/>
      <c r="V28" s="112"/>
    </row>
    <row r="29" spans="1:26" s="32" customFormat="1" ht="18.75" customHeight="1" x14ac:dyDescent="0.35">
      <c r="B29" s="245" t="s">
        <v>109</v>
      </c>
      <c r="C29" s="244" t="s">
        <v>288</v>
      </c>
      <c r="D29" s="244"/>
      <c r="E29" s="244"/>
      <c r="F29" s="244"/>
      <c r="G29" s="244"/>
      <c r="H29" s="50"/>
      <c r="I29" s="114" t="s">
        <v>109</v>
      </c>
      <c r="J29" s="50" t="s">
        <v>110</v>
      </c>
      <c r="K29" s="116"/>
      <c r="O29" s="111"/>
      <c r="P29" s="234" t="s">
        <v>192</v>
      </c>
      <c r="Q29" s="234"/>
      <c r="R29" s="234"/>
      <c r="S29" s="234"/>
      <c r="T29" s="234"/>
      <c r="U29" s="234"/>
      <c r="V29" s="234"/>
    </row>
    <row r="30" spans="1:26" s="32" customFormat="1" ht="18.75" customHeight="1" x14ac:dyDescent="0.35">
      <c r="B30" s="245"/>
      <c r="C30" s="244"/>
      <c r="D30" s="244"/>
      <c r="E30" s="244"/>
      <c r="F30" s="244"/>
      <c r="G30" s="244"/>
      <c r="H30" s="50"/>
      <c r="I30" s="114" t="s">
        <v>109</v>
      </c>
      <c r="J30" s="50" t="s">
        <v>31</v>
      </c>
      <c r="K30" s="116"/>
      <c r="O30" s="111"/>
      <c r="P30" s="234"/>
      <c r="Q30" s="234"/>
      <c r="R30" s="234"/>
      <c r="S30" s="234"/>
      <c r="T30" s="234"/>
      <c r="U30" s="234"/>
      <c r="V30" s="234"/>
    </row>
    <row r="31" spans="1:26" s="32" customFormat="1" ht="18.75" customHeight="1" x14ac:dyDescent="0.35">
      <c r="B31" s="245" t="s">
        <v>109</v>
      </c>
      <c r="C31" s="244" t="s">
        <v>289</v>
      </c>
      <c r="D31" s="244"/>
      <c r="E31" s="244"/>
      <c r="F31" s="244"/>
      <c r="G31" s="244"/>
      <c r="H31" s="50"/>
      <c r="I31" s="114" t="s">
        <v>109</v>
      </c>
      <c r="J31" s="50" t="s">
        <v>111</v>
      </c>
      <c r="K31" s="113"/>
      <c r="O31" s="111"/>
      <c r="P31" s="234" t="s">
        <v>261</v>
      </c>
      <c r="Q31" s="234"/>
      <c r="R31" s="234"/>
      <c r="S31" s="234"/>
      <c r="T31" s="234"/>
      <c r="U31" s="234"/>
      <c r="V31" s="113"/>
    </row>
    <row r="32" spans="1:26" s="32" customFormat="1" ht="18.75" customHeight="1" x14ac:dyDescent="0.35">
      <c r="B32" s="245"/>
      <c r="C32" s="244"/>
      <c r="D32" s="244"/>
      <c r="E32" s="244"/>
      <c r="F32" s="244"/>
      <c r="G32" s="244"/>
      <c r="H32" s="50"/>
      <c r="I32" s="114" t="s">
        <v>109</v>
      </c>
      <c r="J32" s="50" t="s">
        <v>112</v>
      </c>
      <c r="K32" s="113"/>
      <c r="O32" s="111"/>
      <c r="P32" s="234"/>
      <c r="Q32" s="234"/>
      <c r="R32" s="234"/>
      <c r="S32" s="234"/>
      <c r="T32" s="234"/>
      <c r="U32" s="234"/>
      <c r="V32" s="113"/>
    </row>
    <row r="33" spans="1:23" s="32" customFormat="1" ht="18.75" customHeight="1" x14ac:dyDescent="0.35">
      <c r="B33" s="245" t="s">
        <v>109</v>
      </c>
      <c r="C33" s="244" t="s">
        <v>290</v>
      </c>
      <c r="D33" s="244"/>
      <c r="E33" s="244"/>
      <c r="F33" s="244"/>
      <c r="G33" s="244"/>
      <c r="H33" s="50"/>
      <c r="I33" s="114" t="s">
        <v>109</v>
      </c>
      <c r="J33" s="50" t="s">
        <v>113</v>
      </c>
      <c r="K33" s="113"/>
      <c r="P33" s="234"/>
      <c r="Q33" s="234"/>
      <c r="R33" s="234"/>
      <c r="S33" s="234"/>
      <c r="T33" s="234"/>
      <c r="U33" s="234"/>
      <c r="V33" s="113"/>
    </row>
    <row r="34" spans="1:23" s="32" customFormat="1" ht="18.75" customHeight="1" x14ac:dyDescent="0.35">
      <c r="B34" s="245"/>
      <c r="C34" s="244"/>
      <c r="D34" s="244"/>
      <c r="E34" s="244"/>
      <c r="F34" s="244"/>
      <c r="G34" s="244"/>
      <c r="H34" s="115"/>
      <c r="I34" s="114" t="s">
        <v>109</v>
      </c>
      <c r="J34" s="50" t="s">
        <v>114</v>
      </c>
      <c r="K34" s="113"/>
      <c r="N34" s="88"/>
      <c r="V34" s="116"/>
    </row>
    <row r="35" spans="1:23" s="32" customFormat="1" ht="18.75" customHeight="1" x14ac:dyDescent="0.35">
      <c r="B35" s="245" t="s">
        <v>109</v>
      </c>
      <c r="C35" s="244" t="s">
        <v>294</v>
      </c>
      <c r="D35" s="244"/>
      <c r="E35" s="244"/>
      <c r="F35" s="244"/>
      <c r="G35" s="244"/>
      <c r="H35" s="115"/>
      <c r="I35" s="114" t="s">
        <v>109</v>
      </c>
      <c r="J35" s="50" t="s">
        <v>35</v>
      </c>
      <c r="K35" s="116"/>
      <c r="N35" s="88"/>
      <c r="P35" s="119"/>
      <c r="T35" s="116"/>
      <c r="U35" s="116"/>
      <c r="V35" s="116"/>
    </row>
    <row r="36" spans="1:23" s="32" customFormat="1" ht="18.75" customHeight="1" x14ac:dyDescent="0.35">
      <c r="B36" s="245"/>
      <c r="C36" s="244"/>
      <c r="D36" s="244"/>
      <c r="E36" s="244"/>
      <c r="F36" s="244"/>
      <c r="G36" s="244"/>
      <c r="H36" s="121"/>
      <c r="I36" s="114" t="s">
        <v>109</v>
      </c>
      <c r="J36" s="50" t="s">
        <v>36</v>
      </c>
      <c r="K36" s="116"/>
      <c r="N36" s="88"/>
      <c r="Q36" s="111"/>
      <c r="R36" s="111"/>
      <c r="S36" s="111"/>
      <c r="T36" s="111"/>
      <c r="U36" s="111"/>
      <c r="V36" s="116"/>
    </row>
    <row r="37" spans="1:23" s="32" customFormat="1" ht="18.75" customHeight="1" x14ac:dyDescent="0.35">
      <c r="B37" s="117"/>
      <c r="C37" s="122"/>
      <c r="D37" s="120"/>
      <c r="E37" s="120"/>
      <c r="F37" s="120"/>
      <c r="G37" s="118"/>
      <c r="H37" s="121"/>
      <c r="I37" s="114" t="s">
        <v>109</v>
      </c>
      <c r="J37" s="50" t="s">
        <v>115</v>
      </c>
      <c r="K37" s="116"/>
      <c r="N37" s="88"/>
      <c r="Q37" s="111"/>
      <c r="R37" s="111"/>
      <c r="S37" s="111"/>
      <c r="T37" s="111"/>
      <c r="U37" s="111"/>
      <c r="V37" s="113"/>
    </row>
    <row r="38" spans="1:23" s="32" customFormat="1" ht="18.75" customHeight="1" x14ac:dyDescent="0.35">
      <c r="B38" s="50"/>
      <c r="C38" s="120"/>
      <c r="D38" s="120"/>
      <c r="E38" s="120"/>
      <c r="F38" s="120"/>
      <c r="G38" s="118"/>
      <c r="H38" s="121"/>
      <c r="I38" s="114" t="s">
        <v>109</v>
      </c>
      <c r="J38" s="50" t="s">
        <v>116</v>
      </c>
      <c r="K38" s="113"/>
      <c r="N38" s="88"/>
      <c r="V38" s="113"/>
    </row>
    <row r="39" spans="1:23" s="32" customFormat="1" ht="18.75" customHeight="1" x14ac:dyDescent="0.35">
      <c r="B39" s="50"/>
      <c r="C39" s="92"/>
      <c r="D39" s="92"/>
      <c r="E39" s="123"/>
      <c r="F39" s="123"/>
      <c r="G39" s="121"/>
      <c r="H39" s="121"/>
      <c r="I39" s="114" t="s">
        <v>109</v>
      </c>
      <c r="J39" s="50" t="s">
        <v>117</v>
      </c>
      <c r="K39" s="113"/>
      <c r="N39" s="88"/>
      <c r="V39" s="113"/>
    </row>
    <row r="40" spans="1:23" s="32" customFormat="1" ht="18.75" customHeight="1" x14ac:dyDescent="0.35">
      <c r="B40" s="50"/>
      <c r="C40" s="92"/>
      <c r="D40" s="92"/>
      <c r="E40" s="88"/>
      <c r="F40" s="88"/>
      <c r="G40" s="76"/>
      <c r="H40" s="76"/>
      <c r="I40" s="114" t="s">
        <v>109</v>
      </c>
      <c r="J40" s="50" t="s">
        <v>118</v>
      </c>
      <c r="K40" s="113"/>
      <c r="N40" s="88"/>
      <c r="P40" s="235" t="s">
        <v>287</v>
      </c>
      <c r="Q40" s="236"/>
      <c r="R40" s="236"/>
      <c r="S40" s="236"/>
      <c r="T40" s="236"/>
      <c r="U40" s="237"/>
      <c r="V40" s="113"/>
    </row>
    <row r="41" spans="1:23" s="32" customFormat="1" ht="18.75" customHeight="1" x14ac:dyDescent="0.35">
      <c r="H41" s="76"/>
      <c r="I41" s="114" t="s">
        <v>109</v>
      </c>
      <c r="J41" s="50" t="s">
        <v>119</v>
      </c>
      <c r="K41" s="113"/>
      <c r="N41" s="88"/>
      <c r="O41" s="88"/>
      <c r="P41" s="238"/>
      <c r="Q41" s="239"/>
      <c r="R41" s="239"/>
      <c r="S41" s="239"/>
      <c r="T41" s="239"/>
      <c r="U41" s="240"/>
      <c r="V41" s="92"/>
    </row>
    <row r="42" spans="1:23" s="32" customFormat="1" ht="18.75" customHeight="1" x14ac:dyDescent="0.35">
      <c r="H42" s="76"/>
      <c r="O42" s="88"/>
      <c r="P42" s="238"/>
      <c r="Q42" s="239"/>
      <c r="R42" s="239"/>
      <c r="S42" s="239"/>
      <c r="T42" s="239"/>
      <c r="U42" s="240"/>
      <c r="V42" s="92"/>
    </row>
    <row r="43" spans="1:23" s="41" customFormat="1" ht="18.75" customHeight="1" x14ac:dyDescent="0.35">
      <c r="A43" s="32"/>
      <c r="B43" s="32"/>
      <c r="C43" s="32"/>
      <c r="D43" s="32"/>
      <c r="E43" s="32"/>
      <c r="F43" s="32"/>
      <c r="G43" s="32"/>
      <c r="H43" s="76"/>
      <c r="I43" s="32"/>
      <c r="J43" s="32"/>
      <c r="K43" s="32"/>
      <c r="L43" s="32"/>
      <c r="M43" s="32"/>
      <c r="N43" s="32"/>
      <c r="O43" s="88"/>
      <c r="P43" s="238"/>
      <c r="Q43" s="239"/>
      <c r="R43" s="239"/>
      <c r="S43" s="239"/>
      <c r="T43" s="239"/>
      <c r="U43" s="240"/>
      <c r="V43" s="92"/>
      <c r="W43" s="32"/>
    </row>
    <row r="44" spans="1:23" s="41" customFormat="1" ht="18.75" customHeight="1" x14ac:dyDescent="0.35">
      <c r="A44" s="32"/>
      <c r="B44" s="32"/>
      <c r="C44" s="32"/>
      <c r="D44" s="32"/>
      <c r="E44" s="32"/>
      <c r="F44" s="32"/>
      <c r="G44" s="32"/>
      <c r="H44" s="76"/>
      <c r="I44" s="32"/>
      <c r="J44" s="32"/>
      <c r="K44" s="32"/>
      <c r="L44" s="32"/>
      <c r="M44" s="32"/>
      <c r="N44" s="32"/>
      <c r="O44" s="88"/>
      <c r="P44" s="238"/>
      <c r="Q44" s="239"/>
      <c r="R44" s="239"/>
      <c r="S44" s="239"/>
      <c r="T44" s="239"/>
      <c r="U44" s="240"/>
      <c r="V44" s="92"/>
      <c r="W44" s="32"/>
    </row>
    <row r="45" spans="1:23" s="41" customFormat="1" ht="18.75" customHeight="1" x14ac:dyDescent="0.35">
      <c r="A45" s="32"/>
      <c r="B45" s="32"/>
      <c r="C45" s="32"/>
      <c r="D45" s="32"/>
      <c r="E45" s="32"/>
      <c r="F45" s="32"/>
      <c r="G45" s="32"/>
      <c r="H45" s="76"/>
      <c r="I45" s="32"/>
      <c r="J45" s="32"/>
      <c r="K45" s="32"/>
      <c r="L45" s="32"/>
      <c r="M45" s="32"/>
      <c r="N45" s="32"/>
      <c r="O45" s="88"/>
      <c r="P45" s="241"/>
      <c r="Q45" s="242"/>
      <c r="R45" s="242"/>
      <c r="S45" s="242"/>
      <c r="T45" s="242"/>
      <c r="U45" s="243"/>
      <c r="V45" s="92"/>
      <c r="W45" s="32"/>
    </row>
    <row r="46" spans="1:23" s="41" customFormat="1" ht="18.75" customHeight="1" x14ac:dyDescent="0.35">
      <c r="A46" s="32"/>
      <c r="B46" s="32"/>
      <c r="C46" s="32"/>
      <c r="D46" s="32"/>
      <c r="E46" s="32"/>
      <c r="F46" s="32"/>
      <c r="G46" s="32"/>
      <c r="H46" s="76"/>
      <c r="I46" s="32"/>
      <c r="J46" s="32"/>
      <c r="K46" s="32"/>
      <c r="L46" s="32"/>
      <c r="M46" s="32"/>
      <c r="N46" s="32"/>
      <c r="O46" s="88"/>
      <c r="P46" s="88"/>
      <c r="Q46" s="88"/>
      <c r="R46" s="88"/>
      <c r="S46" s="88"/>
      <c r="T46" s="88"/>
      <c r="U46" s="92"/>
      <c r="V46" s="92"/>
      <c r="W46" s="32"/>
    </row>
    <row r="47" spans="1:23" s="41" customFormat="1" ht="18.75" customHeight="1" x14ac:dyDescent="0.35">
      <c r="A47" s="32"/>
      <c r="B47" s="32"/>
      <c r="C47" s="32"/>
      <c r="D47" s="32"/>
      <c r="E47" s="32"/>
      <c r="F47" s="32"/>
      <c r="G47" s="32"/>
      <c r="H47" s="76"/>
      <c r="I47" s="32"/>
      <c r="J47" s="32"/>
      <c r="K47" s="32"/>
      <c r="L47" s="32"/>
      <c r="M47" s="32"/>
      <c r="N47" s="32"/>
      <c r="O47" s="88"/>
      <c r="P47" s="88"/>
      <c r="Q47" s="88"/>
      <c r="R47" s="88"/>
      <c r="S47" s="88"/>
      <c r="T47" s="88"/>
      <c r="U47" s="92"/>
      <c r="V47" s="92"/>
      <c r="W47" s="32"/>
    </row>
    <row r="48" spans="1:23" s="41" customFormat="1" ht="18.75" customHeight="1" x14ac:dyDescent="0.35">
      <c r="A48" s="32"/>
      <c r="B48" s="32"/>
      <c r="C48" s="32"/>
      <c r="D48" s="115"/>
      <c r="E48" s="76"/>
      <c r="F48" s="32"/>
      <c r="G48" s="76"/>
      <c r="H48" s="76"/>
      <c r="I48" s="32"/>
      <c r="J48" s="32"/>
      <c r="K48" s="32"/>
      <c r="L48" s="32"/>
      <c r="M48" s="32"/>
      <c r="N48" s="32"/>
      <c r="O48" s="88"/>
      <c r="P48" s="88"/>
      <c r="Q48" s="88"/>
      <c r="R48" s="88"/>
      <c r="S48" s="88"/>
      <c r="T48" s="88"/>
      <c r="U48" s="92"/>
      <c r="V48" s="92"/>
      <c r="W48" s="32"/>
    </row>
    <row r="49" spans="1:23" s="41" customFormat="1" ht="18.75" customHeight="1" x14ac:dyDescent="0.35">
      <c r="A49" s="32"/>
      <c r="B49" s="32"/>
      <c r="C49" s="32"/>
      <c r="D49" s="115"/>
      <c r="E49" s="76"/>
      <c r="F49" s="32"/>
      <c r="G49" s="76"/>
      <c r="H49" s="76"/>
      <c r="I49" s="76"/>
      <c r="J49" s="76"/>
      <c r="K49" s="32"/>
      <c r="L49" s="92"/>
      <c r="M49" s="92"/>
      <c r="N49" s="88"/>
      <c r="O49" s="88"/>
      <c r="P49" s="88"/>
      <c r="Q49" s="88"/>
      <c r="R49" s="88"/>
      <c r="S49" s="88"/>
      <c r="T49" s="88"/>
      <c r="U49" s="92"/>
      <c r="V49" s="92"/>
      <c r="W49" s="32"/>
    </row>
    <row r="50" spans="1:23" s="41" customFormat="1" ht="18.75" customHeight="1" x14ac:dyDescent="0.35">
      <c r="A50" s="32"/>
      <c r="B50" s="32"/>
      <c r="C50" s="32"/>
      <c r="D50" s="115"/>
      <c r="E50" s="76"/>
      <c r="F50" s="32"/>
      <c r="G50" s="76"/>
      <c r="H50" s="76"/>
      <c r="I50" s="76"/>
      <c r="J50" s="76"/>
      <c r="K50" s="32"/>
      <c r="L50" s="92"/>
      <c r="M50" s="92"/>
      <c r="N50" s="88"/>
      <c r="O50" s="88"/>
      <c r="P50" s="88"/>
      <c r="Q50" s="88"/>
      <c r="R50" s="88"/>
      <c r="S50" s="88"/>
      <c r="T50" s="88"/>
      <c r="U50" s="92"/>
      <c r="V50" s="92"/>
      <c r="W50" s="32"/>
    </row>
    <row r="51" spans="1:23" s="41" customFormat="1" ht="18.75" customHeight="1" x14ac:dyDescent="0.35">
      <c r="A51" s="32"/>
      <c r="B51" s="32"/>
      <c r="C51" s="32"/>
      <c r="D51" s="115"/>
      <c r="E51" s="76"/>
      <c r="F51" s="32"/>
      <c r="G51" s="76"/>
      <c r="H51" s="76"/>
      <c r="I51" s="76"/>
      <c r="J51" s="76"/>
      <c r="K51" s="32"/>
      <c r="L51" s="92"/>
      <c r="M51" s="92"/>
      <c r="N51" s="88"/>
      <c r="O51" s="88"/>
      <c r="P51" s="88"/>
      <c r="Q51" s="88"/>
      <c r="R51" s="88"/>
      <c r="S51" s="88"/>
      <c r="T51" s="88"/>
      <c r="U51" s="92"/>
      <c r="V51" s="92"/>
      <c r="W51" s="32"/>
    </row>
    <row r="52" spans="1:23" s="41" customFormat="1" ht="18.75" customHeight="1" x14ac:dyDescent="0.35">
      <c r="A52" s="32"/>
      <c r="B52" s="32"/>
      <c r="C52" s="32"/>
      <c r="D52" s="115"/>
      <c r="E52" s="76"/>
      <c r="F52" s="32"/>
      <c r="G52" s="76"/>
      <c r="H52" s="76"/>
      <c r="I52" s="76"/>
      <c r="J52" s="76"/>
      <c r="K52" s="32"/>
      <c r="L52" s="92"/>
      <c r="M52" s="92"/>
      <c r="N52" s="88"/>
      <c r="O52" s="88"/>
      <c r="P52" s="88"/>
      <c r="Q52" s="88"/>
      <c r="R52" s="88"/>
      <c r="S52" s="88"/>
      <c r="T52" s="88"/>
      <c r="U52" s="92"/>
      <c r="V52" s="92"/>
      <c r="W52" s="32"/>
    </row>
    <row r="53" spans="1:23" s="41" customFormat="1" ht="18.75" customHeight="1" x14ac:dyDescent="0.35">
      <c r="A53" s="32"/>
      <c r="B53" s="32"/>
      <c r="C53" s="32"/>
      <c r="D53" s="115"/>
      <c r="E53" s="76"/>
      <c r="F53" s="32"/>
      <c r="G53" s="76"/>
      <c r="H53" s="76"/>
      <c r="I53" s="76"/>
      <c r="J53" s="76"/>
      <c r="K53" s="32"/>
      <c r="L53" s="92"/>
      <c r="M53" s="92"/>
      <c r="N53" s="88"/>
      <c r="O53" s="88"/>
      <c r="P53" s="88"/>
      <c r="Q53" s="88"/>
      <c r="R53" s="88"/>
      <c r="S53" s="88"/>
      <c r="T53" s="88"/>
      <c r="U53" s="92"/>
      <c r="V53" s="92"/>
      <c r="W53" s="32"/>
    </row>
    <row r="54" spans="1:23" s="41" customFormat="1" ht="19.399999999999999" customHeight="1" x14ac:dyDescent="0.35">
      <c r="A54" s="32"/>
      <c r="B54" s="32"/>
      <c r="C54" s="32"/>
      <c r="D54" s="115"/>
      <c r="E54" s="76"/>
      <c r="F54" s="32"/>
      <c r="G54" s="76"/>
      <c r="H54" s="76"/>
      <c r="I54" s="76"/>
      <c r="J54" s="76"/>
      <c r="K54" s="32"/>
      <c r="L54" s="92"/>
      <c r="M54" s="92"/>
      <c r="N54" s="88"/>
      <c r="O54" s="88"/>
      <c r="P54" s="88"/>
      <c r="Q54" s="88"/>
      <c r="R54" s="88"/>
      <c r="S54" s="88"/>
      <c r="T54" s="88"/>
      <c r="U54" s="92"/>
      <c r="V54" s="92"/>
      <c r="W54" s="32"/>
    </row>
    <row r="55" spans="1:23" s="41" customFormat="1" ht="18.75" customHeight="1" x14ac:dyDescent="0.35">
      <c r="A55" s="32"/>
      <c r="B55" s="32"/>
      <c r="C55" s="32"/>
      <c r="D55" s="115"/>
      <c r="E55" s="76"/>
      <c r="F55" s="32"/>
      <c r="G55" s="76"/>
      <c r="H55" s="76"/>
      <c r="I55" s="76"/>
      <c r="J55" s="76"/>
      <c r="K55" s="32"/>
      <c r="L55" s="92"/>
      <c r="M55" s="92"/>
      <c r="N55" s="88"/>
      <c r="O55" s="88"/>
      <c r="P55" s="88"/>
      <c r="Q55" s="88"/>
      <c r="R55" s="88"/>
      <c r="S55" s="88"/>
      <c r="T55" s="88"/>
      <c r="U55" s="92"/>
      <c r="V55" s="92"/>
      <c r="W55" s="32"/>
    </row>
    <row r="56" spans="1:23" s="41" customFormat="1" ht="18.75" customHeight="1" x14ac:dyDescent="0.35">
      <c r="A56" s="32"/>
      <c r="B56" s="32"/>
      <c r="C56" s="32"/>
      <c r="D56" s="115"/>
      <c r="E56" s="76"/>
      <c r="F56" s="32"/>
      <c r="G56" s="76"/>
      <c r="H56" s="76"/>
      <c r="I56" s="76"/>
      <c r="J56" s="76"/>
      <c r="K56" s="32"/>
      <c r="L56" s="92"/>
      <c r="M56" s="92"/>
      <c r="N56" s="88"/>
      <c r="O56" s="88"/>
      <c r="P56" s="88"/>
      <c r="Q56" s="88"/>
      <c r="R56" s="88"/>
      <c r="S56" s="88"/>
      <c r="T56" s="88"/>
      <c r="U56" s="92"/>
      <c r="V56" s="92"/>
      <c r="W56" s="32"/>
    </row>
    <row r="57" spans="1:23" s="41" customFormat="1" ht="18.75" customHeight="1" x14ac:dyDescent="0.35">
      <c r="A57" s="32"/>
      <c r="B57" s="32"/>
      <c r="C57" s="32"/>
      <c r="D57" s="115"/>
      <c r="E57" s="76"/>
      <c r="F57" s="32"/>
      <c r="G57" s="76"/>
      <c r="H57" s="76"/>
      <c r="I57" s="76"/>
      <c r="J57" s="76"/>
      <c r="K57" s="32"/>
      <c r="L57" s="92"/>
      <c r="M57" s="92"/>
      <c r="N57" s="88"/>
      <c r="O57" s="88"/>
      <c r="P57" s="88"/>
      <c r="Q57" s="88"/>
      <c r="R57" s="88"/>
      <c r="S57" s="88"/>
      <c r="T57" s="88"/>
      <c r="U57" s="92"/>
      <c r="V57" s="92"/>
      <c r="W57" s="32"/>
    </row>
    <row r="58" spans="1:23" s="41" customFormat="1" ht="18.75" customHeight="1" x14ac:dyDescent="0.35">
      <c r="A58" s="32"/>
      <c r="B58" s="32"/>
      <c r="C58" s="32"/>
      <c r="D58" s="115"/>
      <c r="E58" s="76"/>
      <c r="F58" s="32"/>
      <c r="G58" s="76"/>
      <c r="H58" s="76"/>
      <c r="I58" s="76"/>
      <c r="J58" s="76"/>
      <c r="K58" s="32"/>
      <c r="L58" s="92"/>
      <c r="M58" s="92"/>
      <c r="N58" s="88"/>
      <c r="O58" s="88"/>
      <c r="P58" s="88"/>
      <c r="Q58" s="88"/>
      <c r="R58" s="88"/>
      <c r="S58" s="88"/>
      <c r="T58" s="88"/>
      <c r="U58" s="92"/>
      <c r="V58" s="92"/>
      <c r="W58" s="32"/>
    </row>
  </sheetData>
  <mergeCells count="13">
    <mergeCell ref="H2:P3"/>
    <mergeCell ref="B16:E16"/>
    <mergeCell ref="P29:V30"/>
    <mergeCell ref="P31:U33"/>
    <mergeCell ref="P40:U45"/>
    <mergeCell ref="C29:G30"/>
    <mergeCell ref="B29:B30"/>
    <mergeCell ref="B31:B32"/>
    <mergeCell ref="C31:G32"/>
    <mergeCell ref="B33:B34"/>
    <mergeCell ref="C33:G34"/>
    <mergeCell ref="B35:B36"/>
    <mergeCell ref="C35:G36"/>
  </mergeCells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roducer"/>
  <dimension ref="A1:AI485"/>
  <sheetViews>
    <sheetView zoomScale="85" zoomScaleNormal="85" workbookViewId="0">
      <pane ySplit="5" topLeftCell="A11" activePane="bottomLeft" state="frozen"/>
      <selection activeCell="E108" sqref="E108"/>
      <selection pane="bottomLeft" activeCell="F26" sqref="F26"/>
    </sheetView>
  </sheetViews>
  <sheetFormatPr defaultColWidth="0" defaultRowHeight="18.75" customHeight="1" zeroHeight="1" x14ac:dyDescent="0.35"/>
  <cols>
    <col min="1" max="13" width="14.453125" style="16" customWidth="1"/>
    <col min="14" max="14" width="16" style="16" customWidth="1"/>
    <col min="15" max="15" width="20.453125" style="10" hidden="1" customWidth="1"/>
    <col min="16" max="35" width="14.453125" style="10" hidden="1" customWidth="1"/>
    <col min="36" max="16384" width="8.81640625" style="10" hidden="1"/>
  </cols>
  <sheetData>
    <row r="1" spans="1:35" ht="18.75" customHeight="1" x14ac:dyDescent="0.35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  <c r="N1" s="175"/>
      <c r="O1" s="182"/>
      <c r="P1" s="183" t="s">
        <v>33</v>
      </c>
      <c r="Q1" s="183" t="s">
        <v>140</v>
      </c>
      <c r="R1" s="182" t="s">
        <v>190</v>
      </c>
      <c r="S1" s="63"/>
    </row>
    <row r="2" spans="1:35" ht="18.75" customHeight="1" x14ac:dyDescent="0.35">
      <c r="A2" s="176"/>
      <c r="B2" s="177" t="s">
        <v>33</v>
      </c>
      <c r="C2" s="251"/>
      <c r="D2" s="252"/>
      <c r="E2" s="175"/>
      <c r="F2" s="175"/>
      <c r="G2" s="175"/>
      <c r="H2" s="175"/>
      <c r="I2" s="175"/>
      <c r="J2" s="175"/>
      <c r="K2" s="175"/>
      <c r="L2" s="175"/>
      <c r="M2" s="178">
        <f>COUNT(A:A)</f>
        <v>81</v>
      </c>
      <c r="N2" s="178"/>
      <c r="O2"/>
      <c r="P2"/>
      <c r="Q2"/>
      <c r="R2" t="str">
        <f>_xlfn.CONCAT(R7:R85,R87:R106,R108:R127,R129:R168,R170:R209,R211:R230,R232:R251,R253:R272,R274:R293,R295:R314,R316:R317,R319:R338,R340:R359,R361:R380,R382:R401,R403:R422,R424:R443)</f>
        <v>541765433954341543385434054342541905419154189541885418754184541825418654183541855427254275542745427354276541755419754193541925419454196541985419554199542785428154287542825429054289542935429654292542855436354355543625437354366543745435754371543565435954299543015430054298542975430554304543025430654307543085430354311543105430954312543135420154200542035420254316543185431554317543145432154322543195432054323</v>
      </c>
      <c r="S2" s="10" t="s">
        <v>75</v>
      </c>
    </row>
    <row r="3" spans="1:35" ht="18.649999999999999" customHeight="1" x14ac:dyDescent="0.35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P3" s="184" t="s">
        <v>30</v>
      </c>
      <c r="Q3" s="184" t="s">
        <v>30</v>
      </c>
      <c r="AG3" s="30" t="s">
        <v>197</v>
      </c>
      <c r="AH3" s="30" t="s">
        <v>96</v>
      </c>
      <c r="AI3" s="30" t="s">
        <v>97</v>
      </c>
    </row>
    <row r="4" spans="1:35" ht="18.75" hidden="1" customHeight="1" x14ac:dyDescent="0.35">
      <c r="A4" s="181" t="s">
        <v>0</v>
      </c>
      <c r="B4" s="181" t="s">
        <v>1</v>
      </c>
      <c r="C4" s="181" t="s">
        <v>2</v>
      </c>
      <c r="D4" s="181" t="s">
        <v>3</v>
      </c>
      <c r="E4" s="181" t="s">
        <v>4</v>
      </c>
      <c r="F4" s="181" t="s">
        <v>5</v>
      </c>
      <c r="G4" s="181" t="s">
        <v>6</v>
      </c>
      <c r="H4" s="181" t="s">
        <v>7</v>
      </c>
      <c r="I4" s="181" t="s">
        <v>8</v>
      </c>
      <c r="J4" s="181" t="s">
        <v>9</v>
      </c>
      <c r="K4" s="181" t="s">
        <v>10</v>
      </c>
      <c r="L4" s="181" t="s">
        <v>11</v>
      </c>
      <c r="M4" s="181" t="s">
        <v>12</v>
      </c>
      <c r="N4" s="181"/>
      <c r="P4" s="184" t="s">
        <v>30</v>
      </c>
      <c r="Q4" s="184" t="s">
        <v>30</v>
      </c>
      <c r="S4" s="1" t="s">
        <v>13</v>
      </c>
      <c r="T4" s="1" t="s">
        <v>59</v>
      </c>
      <c r="U4" s="1" t="s">
        <v>62</v>
      </c>
      <c r="W4" s="1" t="s">
        <v>29</v>
      </c>
      <c r="Y4" s="1" t="s">
        <v>48</v>
      </c>
      <c r="Z4" s="1" t="s">
        <v>54</v>
      </c>
      <c r="AA4" s="1" t="s">
        <v>17</v>
      </c>
      <c r="AB4" s="1" t="s">
        <v>18</v>
      </c>
      <c r="AC4" s="1" t="s">
        <v>49</v>
      </c>
      <c r="AD4" s="1" t="s">
        <v>50</v>
      </c>
      <c r="AE4" s="1" t="s">
        <v>51</v>
      </c>
      <c r="AG4" s="1" t="s">
        <v>71</v>
      </c>
      <c r="AH4" s="1" t="s">
        <v>96</v>
      </c>
      <c r="AI4" s="1" t="s">
        <v>97</v>
      </c>
    </row>
    <row r="5" spans="1:35" ht="18.75" customHeight="1" x14ac:dyDescent="0.35">
      <c r="A5" s="177" t="s">
        <v>14</v>
      </c>
      <c r="B5" s="177" t="s">
        <v>15</v>
      </c>
      <c r="C5" s="177" t="s">
        <v>16</v>
      </c>
      <c r="D5" s="177" t="s">
        <v>17</v>
      </c>
      <c r="E5" s="177" t="s">
        <v>18</v>
      </c>
      <c r="F5" s="177" t="s">
        <v>19</v>
      </c>
      <c r="G5" s="177" t="s">
        <v>125</v>
      </c>
      <c r="H5" s="177" t="s">
        <v>20</v>
      </c>
      <c r="I5" s="177" t="s">
        <v>21</v>
      </c>
      <c r="J5" s="177" t="s">
        <v>22</v>
      </c>
      <c r="K5" s="177" t="s">
        <v>23</v>
      </c>
      <c r="L5" s="177" t="s">
        <v>24</v>
      </c>
      <c r="M5" s="177" t="s">
        <v>25</v>
      </c>
      <c r="N5" s="177" t="s">
        <v>126</v>
      </c>
      <c r="P5" s="184" t="s">
        <v>30</v>
      </c>
      <c r="Q5" s="184" t="s">
        <v>30</v>
      </c>
      <c r="R5" s="177" t="s">
        <v>14</v>
      </c>
      <c r="S5" s="3">
        <v>1</v>
      </c>
      <c r="T5" s="3">
        <v>1</v>
      </c>
      <c r="U5" s="3">
        <v>1</v>
      </c>
      <c r="W5" s="3" t="s">
        <v>30</v>
      </c>
      <c r="Y5" s="3">
        <v>2</v>
      </c>
      <c r="Z5" s="58" t="s">
        <v>55</v>
      </c>
      <c r="AA5" s="3" t="s">
        <v>68</v>
      </c>
      <c r="AB5" s="17">
        <v>0.6</v>
      </c>
      <c r="AC5" s="3" t="s">
        <v>52</v>
      </c>
      <c r="AD5" s="3" t="s">
        <v>52</v>
      </c>
      <c r="AE5" s="3" t="s">
        <v>52</v>
      </c>
      <c r="AG5" s="30">
        <f>Constants!B13/100</f>
        <v>5.2499999999999998E-2</v>
      </c>
      <c r="AH5" s="30">
        <f>Constants!B10/100</f>
        <v>8.2400000000000001E-2</v>
      </c>
      <c r="AI5" s="30">
        <f>Constants!B11/100</f>
        <v>8.539999999999999E-2</v>
      </c>
    </row>
    <row r="6" spans="1:35" ht="18.75" customHeight="1" x14ac:dyDescent="0.35">
      <c r="A6" s="246" t="s">
        <v>26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8"/>
      <c r="P6" s="184" t="s">
        <v>30</v>
      </c>
      <c r="Q6" s="184" t="s">
        <v>30</v>
      </c>
      <c r="S6" s="3">
        <f t="shared" ref="S6:S85" si="0">IF(OR($C$2="",$C$2="Residential"),1,0)</f>
        <v>1</v>
      </c>
      <c r="T6" s="3" t="s">
        <v>30</v>
      </c>
      <c r="U6" s="185" t="str">
        <f t="shared" ref="U6:U69" si="1">IF(C6="Discount",IF(OR(T6=$W$8,T6=$W$10,T6=$W$11,T6=$W$19,T6=$W$20,T6=$W$21,T6=$W$22),$AI$5-F6,$AH$5-F6),IF(C6="Tracker",F6-$AG$5,"N/A"))</f>
        <v>N/A</v>
      </c>
      <c r="W6" s="3" t="s">
        <v>122</v>
      </c>
      <c r="Y6" s="3">
        <v>3</v>
      </c>
      <c r="Z6" s="58" t="s">
        <v>56</v>
      </c>
      <c r="AA6" s="3" t="s">
        <v>69</v>
      </c>
      <c r="AB6" s="17">
        <v>0.65</v>
      </c>
      <c r="AC6" s="3" t="s">
        <v>53</v>
      </c>
      <c r="AD6" s="3" t="s">
        <v>53</v>
      </c>
      <c r="AE6" s="3" t="s">
        <v>53</v>
      </c>
    </row>
    <row r="7" spans="1:35" ht="18.75" customHeight="1" x14ac:dyDescent="0.35">
      <c r="A7" s="129">
        <v>54176</v>
      </c>
      <c r="B7" s="129">
        <v>1</v>
      </c>
      <c r="C7" s="129" t="s">
        <v>56</v>
      </c>
      <c r="D7" s="129" t="s">
        <v>95</v>
      </c>
      <c r="E7" s="130">
        <v>1.5</v>
      </c>
      <c r="F7" s="131">
        <v>6.9900000000000004E-2</v>
      </c>
      <c r="G7" s="131">
        <v>8.1256518999999999E-2</v>
      </c>
      <c r="H7" s="132">
        <v>99</v>
      </c>
      <c r="I7" s="129" t="s">
        <v>53</v>
      </c>
      <c r="J7" s="129" t="s">
        <v>52</v>
      </c>
      <c r="K7" s="133">
        <v>0</v>
      </c>
      <c r="L7" s="129" t="s">
        <v>52</v>
      </c>
      <c r="M7" s="134" t="s">
        <v>282</v>
      </c>
      <c r="N7" s="134" t="s">
        <v>53</v>
      </c>
      <c r="P7" s="184" t="s">
        <v>30</v>
      </c>
      <c r="Q7" s="184" t="s">
        <v>30</v>
      </c>
      <c r="R7" s="129">
        <f>IF(A7="","",A7)</f>
        <v>54176</v>
      </c>
      <c r="S7" s="3">
        <f t="shared" si="0"/>
        <v>1</v>
      </c>
      <c r="T7" s="3" t="s">
        <v>30</v>
      </c>
      <c r="U7" s="185" t="str">
        <f t="shared" si="1"/>
        <v>N/A</v>
      </c>
      <c r="W7" s="3" t="s">
        <v>31</v>
      </c>
      <c r="Y7" s="10">
        <v>5</v>
      </c>
      <c r="Z7" s="10" t="s">
        <v>85</v>
      </c>
      <c r="AA7" s="3" t="s">
        <v>93</v>
      </c>
      <c r="AB7" s="17">
        <v>0.7</v>
      </c>
    </row>
    <row r="8" spans="1:35" s="231" customFormat="1" ht="18.75" customHeight="1" x14ac:dyDescent="0.35">
      <c r="A8" s="129">
        <v>54339</v>
      </c>
      <c r="B8" s="129">
        <v>2</v>
      </c>
      <c r="C8" s="129" t="s">
        <v>56</v>
      </c>
      <c r="D8" s="129" t="s">
        <v>95</v>
      </c>
      <c r="E8" s="130">
        <v>0.65</v>
      </c>
      <c r="F8" s="131">
        <v>4.2799999999999998E-2</v>
      </c>
      <c r="G8" s="131">
        <v>7.5415481000000006E-2</v>
      </c>
      <c r="H8" s="132">
        <v>799</v>
      </c>
      <c r="I8" s="129" t="s">
        <v>53</v>
      </c>
      <c r="J8" s="129" t="s">
        <v>52</v>
      </c>
      <c r="K8" s="133">
        <v>0</v>
      </c>
      <c r="L8" s="129" t="s">
        <v>52</v>
      </c>
      <c r="M8" s="134" t="s">
        <v>283</v>
      </c>
      <c r="N8" s="134" t="s">
        <v>53</v>
      </c>
      <c r="P8" s="184" t="s">
        <v>30</v>
      </c>
      <c r="Q8" s="184" t="s">
        <v>30</v>
      </c>
      <c r="R8" s="129">
        <f t="shared" ref="R8:R71" si="2">IF(A8="","",A8)</f>
        <v>54339</v>
      </c>
      <c r="S8" s="3">
        <f t="shared" si="0"/>
        <v>1</v>
      </c>
      <c r="T8" s="3" t="s">
        <v>30</v>
      </c>
      <c r="U8" s="185" t="str">
        <f t="shared" si="1"/>
        <v>N/A</v>
      </c>
      <c r="W8" s="3" t="s">
        <v>32</v>
      </c>
      <c r="Y8" s="231">
        <v>10</v>
      </c>
      <c r="Z8" s="231" t="s">
        <v>86</v>
      </c>
      <c r="AA8" s="3" t="s">
        <v>94</v>
      </c>
      <c r="AB8" s="17">
        <v>0.75</v>
      </c>
    </row>
    <row r="9" spans="1:35" s="231" customFormat="1" ht="18.75" customHeight="1" x14ac:dyDescent="0.35">
      <c r="A9" s="129">
        <v>54341</v>
      </c>
      <c r="B9" s="129">
        <v>2</v>
      </c>
      <c r="C9" s="129" t="s">
        <v>56</v>
      </c>
      <c r="D9" s="129" t="s">
        <v>95</v>
      </c>
      <c r="E9" s="130">
        <v>0.65</v>
      </c>
      <c r="F9" s="131">
        <v>4.4499999999999998E-2</v>
      </c>
      <c r="G9" s="131">
        <v>7.5162067999999999E-2</v>
      </c>
      <c r="H9" s="132">
        <v>0</v>
      </c>
      <c r="I9" s="129" t="s">
        <v>53</v>
      </c>
      <c r="J9" s="129" t="s">
        <v>52</v>
      </c>
      <c r="K9" s="133">
        <v>0</v>
      </c>
      <c r="L9" s="129" t="s">
        <v>52</v>
      </c>
      <c r="M9" s="134" t="s">
        <v>283</v>
      </c>
      <c r="N9" s="134" t="s">
        <v>53</v>
      </c>
      <c r="P9" s="184" t="s">
        <v>30</v>
      </c>
      <c r="Q9" s="184" t="s">
        <v>30</v>
      </c>
      <c r="R9" s="129">
        <f t="shared" si="2"/>
        <v>54341</v>
      </c>
      <c r="S9" s="3">
        <f t="shared" si="0"/>
        <v>1</v>
      </c>
      <c r="T9" s="3" t="s">
        <v>30</v>
      </c>
      <c r="U9" s="185" t="str">
        <f t="shared" si="1"/>
        <v>N/A</v>
      </c>
      <c r="W9" s="3" t="s">
        <v>123</v>
      </c>
      <c r="AA9" s="3" t="s">
        <v>95</v>
      </c>
      <c r="AB9" s="17">
        <v>0.8</v>
      </c>
    </row>
    <row r="10" spans="1:35" s="231" customFormat="1" ht="18.75" customHeight="1" x14ac:dyDescent="0.35">
      <c r="A10" s="129">
        <v>54338</v>
      </c>
      <c r="B10" s="129">
        <v>2</v>
      </c>
      <c r="C10" s="129" t="s">
        <v>56</v>
      </c>
      <c r="D10" s="129" t="s">
        <v>95</v>
      </c>
      <c r="E10" s="130">
        <v>0.75</v>
      </c>
      <c r="F10" s="131">
        <v>4.2500000000000003E-2</v>
      </c>
      <c r="G10" s="131">
        <v>7.5659164000000001E-2</v>
      </c>
      <c r="H10" s="132">
        <v>1599</v>
      </c>
      <c r="I10" s="129" t="s">
        <v>53</v>
      </c>
      <c r="J10" s="129" t="s">
        <v>52</v>
      </c>
      <c r="K10" s="133">
        <v>0</v>
      </c>
      <c r="L10" s="129" t="s">
        <v>52</v>
      </c>
      <c r="M10" s="134" t="s">
        <v>283</v>
      </c>
      <c r="N10" s="134" t="s">
        <v>53</v>
      </c>
      <c r="P10" s="184" t="s">
        <v>30</v>
      </c>
      <c r="Q10" s="184" t="s">
        <v>30</v>
      </c>
      <c r="R10" s="129">
        <f t="shared" si="2"/>
        <v>54338</v>
      </c>
      <c r="S10" s="3">
        <f t="shared" si="0"/>
        <v>1</v>
      </c>
      <c r="T10" s="3" t="s">
        <v>30</v>
      </c>
      <c r="U10" s="185" t="str">
        <f t="shared" si="1"/>
        <v>N/A</v>
      </c>
      <c r="W10" s="3" t="s">
        <v>34</v>
      </c>
      <c r="AA10" s="3"/>
      <c r="AB10" s="17">
        <v>0.85</v>
      </c>
    </row>
    <row r="11" spans="1:35" s="231" customFormat="1" ht="18.75" customHeight="1" x14ac:dyDescent="0.35">
      <c r="A11" s="129">
        <v>54340</v>
      </c>
      <c r="B11" s="11">
        <v>2</v>
      </c>
      <c r="C11" s="11" t="s">
        <v>56</v>
      </c>
      <c r="D11" s="11" t="s">
        <v>95</v>
      </c>
      <c r="E11" s="12">
        <v>0.75</v>
      </c>
      <c r="F11" s="13">
        <v>4.4299999999999999E-2</v>
      </c>
      <c r="G11" s="131">
        <v>7.5731243000000004E-2</v>
      </c>
      <c r="H11" s="65">
        <v>799</v>
      </c>
      <c r="I11" s="11" t="s">
        <v>53</v>
      </c>
      <c r="J11" s="129" t="s">
        <v>52</v>
      </c>
      <c r="K11" s="14">
        <v>0</v>
      </c>
      <c r="L11" s="11" t="s">
        <v>52</v>
      </c>
      <c r="M11" s="15" t="s">
        <v>283</v>
      </c>
      <c r="N11" s="15" t="s">
        <v>53</v>
      </c>
      <c r="P11" s="184" t="s">
        <v>30</v>
      </c>
      <c r="Q11" s="184" t="s">
        <v>30</v>
      </c>
      <c r="R11" s="129">
        <f t="shared" si="2"/>
        <v>54340</v>
      </c>
      <c r="S11" s="3">
        <f t="shared" si="0"/>
        <v>1</v>
      </c>
      <c r="T11" s="3" t="s">
        <v>30</v>
      </c>
      <c r="U11" s="185" t="str">
        <f t="shared" si="1"/>
        <v>N/A</v>
      </c>
      <c r="W11" s="3" t="s">
        <v>41</v>
      </c>
      <c r="AA11" s="3"/>
      <c r="AB11" s="17">
        <v>0.9</v>
      </c>
    </row>
    <row r="12" spans="1:35" s="231" customFormat="1" ht="18.75" customHeight="1" x14ac:dyDescent="0.35">
      <c r="A12" s="129">
        <v>54342</v>
      </c>
      <c r="B12" s="129">
        <v>2</v>
      </c>
      <c r="C12" s="129" t="s">
        <v>56</v>
      </c>
      <c r="D12" s="129" t="s">
        <v>95</v>
      </c>
      <c r="E12" s="130">
        <v>0.75</v>
      </c>
      <c r="F12" s="131">
        <v>4.5400000000000003E-2</v>
      </c>
      <c r="G12" s="131">
        <v>7.5351136999999999E-2</v>
      </c>
      <c r="H12" s="132">
        <v>0</v>
      </c>
      <c r="I12" s="129" t="s">
        <v>53</v>
      </c>
      <c r="J12" s="129" t="s">
        <v>52</v>
      </c>
      <c r="K12" s="133">
        <v>0</v>
      </c>
      <c r="L12" s="129" t="s">
        <v>52</v>
      </c>
      <c r="M12" s="221" t="s">
        <v>283</v>
      </c>
      <c r="N12" s="129" t="s">
        <v>53</v>
      </c>
      <c r="P12" s="184" t="s">
        <v>30</v>
      </c>
      <c r="Q12" s="184" t="s">
        <v>30</v>
      </c>
      <c r="R12" s="129">
        <f t="shared" si="2"/>
        <v>54342</v>
      </c>
      <c r="S12" s="3">
        <f t="shared" si="0"/>
        <v>1</v>
      </c>
      <c r="T12" s="3" t="s">
        <v>30</v>
      </c>
      <c r="U12" s="185" t="str">
        <f t="shared" si="1"/>
        <v>N/A</v>
      </c>
      <c r="W12" s="3" t="s">
        <v>38</v>
      </c>
      <c r="AA12" s="3"/>
      <c r="AB12" s="17">
        <v>0.95</v>
      </c>
    </row>
    <row r="13" spans="1:35" ht="18.75" customHeight="1" x14ac:dyDescent="0.35">
      <c r="A13" s="129">
        <v>54190</v>
      </c>
      <c r="B13" s="129">
        <v>2</v>
      </c>
      <c r="C13" s="129" t="s">
        <v>56</v>
      </c>
      <c r="D13" s="129" t="s">
        <v>95</v>
      </c>
      <c r="E13" s="130">
        <v>0.9</v>
      </c>
      <c r="F13" s="131">
        <v>5.8900000000000001E-2</v>
      </c>
      <c r="G13" s="131">
        <v>7.8225907999999997E-2</v>
      </c>
      <c r="H13" s="132">
        <v>0</v>
      </c>
      <c r="I13" s="129" t="s">
        <v>53</v>
      </c>
      <c r="J13" s="129" t="s">
        <v>52</v>
      </c>
      <c r="K13" s="133">
        <v>0</v>
      </c>
      <c r="L13" s="129" t="s">
        <v>52</v>
      </c>
      <c r="M13" s="221" t="s">
        <v>283</v>
      </c>
      <c r="N13" s="129" t="s">
        <v>53</v>
      </c>
      <c r="P13" s="184" t="s">
        <v>30</v>
      </c>
      <c r="Q13" s="184" t="s">
        <v>30</v>
      </c>
      <c r="R13" s="129">
        <f t="shared" si="2"/>
        <v>54190</v>
      </c>
      <c r="S13" s="3">
        <f t="shared" si="0"/>
        <v>1</v>
      </c>
      <c r="T13" s="3" t="s">
        <v>30</v>
      </c>
      <c r="U13" s="185" t="str">
        <f t="shared" si="1"/>
        <v>N/A</v>
      </c>
      <c r="W13" s="3" t="s">
        <v>35</v>
      </c>
      <c r="AA13" s="3"/>
      <c r="AB13" s="17">
        <v>1</v>
      </c>
    </row>
    <row r="14" spans="1:35" ht="18.75" customHeight="1" x14ac:dyDescent="0.35">
      <c r="A14" s="129">
        <v>54191</v>
      </c>
      <c r="B14" s="129">
        <v>2</v>
      </c>
      <c r="C14" s="129" t="s">
        <v>56</v>
      </c>
      <c r="D14" s="129" t="s">
        <v>95</v>
      </c>
      <c r="E14" s="130">
        <v>0.95</v>
      </c>
      <c r="F14" s="131">
        <v>6.0900000000000003E-2</v>
      </c>
      <c r="G14" s="131">
        <v>7.8658204999999995E-2</v>
      </c>
      <c r="H14" s="132">
        <v>0</v>
      </c>
      <c r="I14" s="129" t="s">
        <v>53</v>
      </c>
      <c r="J14" s="129" t="s">
        <v>52</v>
      </c>
      <c r="K14" s="133">
        <v>0</v>
      </c>
      <c r="L14" s="129" t="s">
        <v>52</v>
      </c>
      <c r="M14" s="221" t="s">
        <v>283</v>
      </c>
      <c r="N14" s="129" t="s">
        <v>53</v>
      </c>
      <c r="P14" s="184" t="s">
        <v>30</v>
      </c>
      <c r="Q14" s="184" t="s">
        <v>30</v>
      </c>
      <c r="R14" s="129">
        <f t="shared" si="2"/>
        <v>54191</v>
      </c>
      <c r="S14" s="3">
        <f t="shared" si="0"/>
        <v>1</v>
      </c>
      <c r="T14" s="3" t="s">
        <v>30</v>
      </c>
      <c r="U14" s="185" t="str">
        <f t="shared" si="1"/>
        <v>N/A</v>
      </c>
      <c r="W14" s="3" t="s">
        <v>36</v>
      </c>
      <c r="AA14" s="3"/>
      <c r="AB14" s="17">
        <v>1.05</v>
      </c>
    </row>
    <row r="15" spans="1:35" ht="18.75" customHeight="1" x14ac:dyDescent="0.35">
      <c r="A15" s="129">
        <v>54189</v>
      </c>
      <c r="B15" s="129">
        <v>2</v>
      </c>
      <c r="C15" s="129" t="s">
        <v>56</v>
      </c>
      <c r="D15" s="129" t="s">
        <v>95</v>
      </c>
      <c r="E15" s="130">
        <v>1.5</v>
      </c>
      <c r="F15" s="131">
        <v>6.9900000000000004E-2</v>
      </c>
      <c r="G15" s="131">
        <v>8.0627557000000002E-2</v>
      </c>
      <c r="H15" s="132">
        <v>0</v>
      </c>
      <c r="I15" s="129" t="s">
        <v>53</v>
      </c>
      <c r="J15" s="129" t="s">
        <v>52</v>
      </c>
      <c r="K15" s="133">
        <v>0</v>
      </c>
      <c r="L15" s="129" t="s">
        <v>52</v>
      </c>
      <c r="M15" s="221" t="s">
        <v>283</v>
      </c>
      <c r="N15" s="129" t="s">
        <v>53</v>
      </c>
      <c r="P15" s="184" t="s">
        <v>30</v>
      </c>
      <c r="Q15" s="184" t="s">
        <v>30</v>
      </c>
      <c r="R15" s="129">
        <f t="shared" si="2"/>
        <v>54189</v>
      </c>
      <c r="S15" s="3">
        <f t="shared" si="0"/>
        <v>1</v>
      </c>
      <c r="T15" s="3" t="s">
        <v>30</v>
      </c>
      <c r="U15" s="185" t="str">
        <f t="shared" si="1"/>
        <v>N/A</v>
      </c>
      <c r="W15" s="3" t="s">
        <v>47</v>
      </c>
      <c r="AA15" s="3"/>
      <c r="AB15" s="17">
        <v>1.1000000000000001</v>
      </c>
    </row>
    <row r="16" spans="1:35" ht="18.75" customHeight="1" x14ac:dyDescent="0.35">
      <c r="A16" s="129">
        <v>54188</v>
      </c>
      <c r="B16" s="129">
        <v>5</v>
      </c>
      <c r="C16" s="129" t="s">
        <v>56</v>
      </c>
      <c r="D16" s="129" t="s">
        <v>95</v>
      </c>
      <c r="E16" s="130">
        <v>0.65</v>
      </c>
      <c r="F16" s="131">
        <v>4.0099999999999997E-2</v>
      </c>
      <c r="G16" s="131">
        <v>6.6588310999999997E-2</v>
      </c>
      <c r="H16" s="132">
        <v>1599</v>
      </c>
      <c r="I16" s="129" t="s">
        <v>53</v>
      </c>
      <c r="J16" s="129" t="s">
        <v>52</v>
      </c>
      <c r="K16" s="133">
        <v>0</v>
      </c>
      <c r="L16" s="129" t="s">
        <v>52</v>
      </c>
      <c r="M16" s="221" t="s">
        <v>284</v>
      </c>
      <c r="N16" s="129" t="s">
        <v>53</v>
      </c>
      <c r="P16" s="184" t="s">
        <v>30</v>
      </c>
      <c r="Q16" s="184" t="s">
        <v>30</v>
      </c>
      <c r="R16" s="129">
        <f t="shared" si="2"/>
        <v>54188</v>
      </c>
      <c r="S16" s="3">
        <f t="shared" si="0"/>
        <v>1</v>
      </c>
      <c r="T16" s="3" t="s">
        <v>30</v>
      </c>
      <c r="U16" s="185" t="str">
        <f t="shared" si="1"/>
        <v>N/A</v>
      </c>
      <c r="W16" s="3" t="s">
        <v>37</v>
      </c>
      <c r="AA16" s="3"/>
      <c r="AB16" s="17">
        <v>1.1499999999999999</v>
      </c>
    </row>
    <row r="17" spans="1:28" ht="18.75" customHeight="1" x14ac:dyDescent="0.35">
      <c r="A17" s="129">
        <v>54187</v>
      </c>
      <c r="B17" s="129">
        <v>5</v>
      </c>
      <c r="C17" s="129" t="s">
        <v>56</v>
      </c>
      <c r="D17" s="129" t="s">
        <v>95</v>
      </c>
      <c r="E17" s="130">
        <v>0.65</v>
      </c>
      <c r="F17" s="131">
        <v>4.1099999999999998E-2</v>
      </c>
      <c r="G17" s="131">
        <v>6.6740794000000006E-2</v>
      </c>
      <c r="H17" s="132">
        <v>799</v>
      </c>
      <c r="I17" s="129" t="s">
        <v>53</v>
      </c>
      <c r="J17" s="129" t="s">
        <v>52</v>
      </c>
      <c r="K17" s="133">
        <v>0</v>
      </c>
      <c r="L17" s="129" t="s">
        <v>52</v>
      </c>
      <c r="M17" s="221" t="s">
        <v>284</v>
      </c>
      <c r="N17" s="129" t="s">
        <v>53</v>
      </c>
      <c r="P17" s="184" t="s">
        <v>30</v>
      </c>
      <c r="Q17" s="184" t="s">
        <v>30</v>
      </c>
      <c r="R17" s="129">
        <f t="shared" si="2"/>
        <v>54187</v>
      </c>
      <c r="S17" s="3">
        <f t="shared" si="0"/>
        <v>1</v>
      </c>
      <c r="T17" s="3" t="s">
        <v>30</v>
      </c>
      <c r="U17" s="185" t="str">
        <f t="shared" si="1"/>
        <v>N/A</v>
      </c>
      <c r="W17" s="3" t="s">
        <v>39</v>
      </c>
      <c r="AA17" s="3"/>
      <c r="AB17" s="17">
        <v>1.2</v>
      </c>
    </row>
    <row r="18" spans="1:28" ht="18.75" customHeight="1" x14ac:dyDescent="0.35">
      <c r="A18" s="129">
        <v>54184</v>
      </c>
      <c r="B18" s="129">
        <v>5</v>
      </c>
      <c r="C18" s="129" t="s">
        <v>56</v>
      </c>
      <c r="D18" s="129" t="s">
        <v>95</v>
      </c>
      <c r="E18" s="130">
        <v>0.75</v>
      </c>
      <c r="F18" s="131">
        <v>4.1099999999999998E-2</v>
      </c>
      <c r="G18" s="131">
        <v>6.7026044000000007E-2</v>
      </c>
      <c r="H18" s="132">
        <v>1599</v>
      </c>
      <c r="I18" s="129" t="s">
        <v>53</v>
      </c>
      <c r="J18" s="129" t="s">
        <v>52</v>
      </c>
      <c r="K18" s="133">
        <v>0</v>
      </c>
      <c r="L18" s="129" t="s">
        <v>52</v>
      </c>
      <c r="M18" s="221" t="s">
        <v>284</v>
      </c>
      <c r="N18" s="129" t="s">
        <v>53</v>
      </c>
      <c r="P18" s="184" t="s">
        <v>30</v>
      </c>
      <c r="Q18" s="184" t="s">
        <v>30</v>
      </c>
      <c r="R18" s="129">
        <f t="shared" si="2"/>
        <v>54184</v>
      </c>
      <c r="S18" s="3">
        <f t="shared" si="0"/>
        <v>1</v>
      </c>
      <c r="T18" s="3" t="s">
        <v>30</v>
      </c>
      <c r="U18" s="185" t="str">
        <f t="shared" si="1"/>
        <v>N/A</v>
      </c>
      <c r="W18" s="3" t="s">
        <v>105</v>
      </c>
      <c r="AA18" s="3"/>
      <c r="AB18" s="17">
        <v>1.25</v>
      </c>
    </row>
    <row r="19" spans="1:28" ht="18.75" customHeight="1" x14ac:dyDescent="0.35">
      <c r="A19" s="129">
        <v>54182</v>
      </c>
      <c r="B19" s="129">
        <v>5</v>
      </c>
      <c r="C19" s="129" t="s">
        <v>56</v>
      </c>
      <c r="D19" s="129" t="s">
        <v>95</v>
      </c>
      <c r="E19" s="130">
        <v>0.75</v>
      </c>
      <c r="F19" s="131">
        <v>4.2099999999999999E-2</v>
      </c>
      <c r="G19" s="131">
        <v>6.7292726999999997E-2</v>
      </c>
      <c r="H19" s="132">
        <v>799</v>
      </c>
      <c r="I19" s="129" t="s">
        <v>53</v>
      </c>
      <c r="J19" s="129" t="s">
        <v>52</v>
      </c>
      <c r="K19" s="133">
        <v>0</v>
      </c>
      <c r="L19" s="129" t="s">
        <v>52</v>
      </c>
      <c r="M19" s="221" t="s">
        <v>284</v>
      </c>
      <c r="N19" s="129" t="s">
        <v>53</v>
      </c>
      <c r="P19" s="184" t="s">
        <v>30</v>
      </c>
      <c r="Q19" s="184" t="s">
        <v>30</v>
      </c>
      <c r="R19" s="129">
        <f t="shared" si="2"/>
        <v>54182</v>
      </c>
      <c r="S19" s="3">
        <f t="shared" si="0"/>
        <v>1</v>
      </c>
      <c r="T19" s="3" t="s">
        <v>30</v>
      </c>
      <c r="U19" s="185" t="str">
        <f t="shared" si="1"/>
        <v>N/A</v>
      </c>
      <c r="W19" s="3" t="s">
        <v>87</v>
      </c>
      <c r="AA19" s="3"/>
      <c r="AB19" s="17">
        <v>1.3</v>
      </c>
    </row>
    <row r="20" spans="1:28" ht="18.75" customHeight="1" x14ac:dyDescent="0.35">
      <c r="A20" s="129">
        <v>54186</v>
      </c>
      <c r="B20" s="129">
        <v>5</v>
      </c>
      <c r="C20" s="129" t="s">
        <v>56</v>
      </c>
      <c r="D20" s="129" t="s">
        <v>95</v>
      </c>
      <c r="E20" s="130">
        <v>0.85</v>
      </c>
      <c r="F20" s="131">
        <v>4.99E-2</v>
      </c>
      <c r="G20" s="131">
        <v>7.0056241000000005E-2</v>
      </c>
      <c r="H20" s="132">
        <v>0</v>
      </c>
      <c r="I20" s="129" t="s">
        <v>53</v>
      </c>
      <c r="J20" s="129" t="s">
        <v>52</v>
      </c>
      <c r="K20" s="133">
        <v>0</v>
      </c>
      <c r="L20" s="129" t="s">
        <v>52</v>
      </c>
      <c r="M20" s="221" t="s">
        <v>284</v>
      </c>
      <c r="N20" s="129" t="s">
        <v>53</v>
      </c>
      <c r="P20" s="184" t="s">
        <v>30</v>
      </c>
      <c r="Q20" s="184" t="s">
        <v>30</v>
      </c>
      <c r="R20" s="129">
        <f t="shared" si="2"/>
        <v>54186</v>
      </c>
      <c r="S20" s="3">
        <f t="shared" si="0"/>
        <v>1</v>
      </c>
      <c r="T20" s="3" t="s">
        <v>30</v>
      </c>
      <c r="U20" s="185" t="str">
        <f t="shared" si="1"/>
        <v>N/A</v>
      </c>
      <c r="W20" s="3" t="s">
        <v>89</v>
      </c>
      <c r="AA20" s="3"/>
      <c r="AB20" s="17">
        <v>1.35</v>
      </c>
    </row>
    <row r="21" spans="1:28" ht="18.75" customHeight="1" x14ac:dyDescent="0.35">
      <c r="A21" s="129">
        <v>54183</v>
      </c>
      <c r="B21" s="129">
        <v>5</v>
      </c>
      <c r="C21" s="129" t="s">
        <v>56</v>
      </c>
      <c r="D21" s="129" t="s">
        <v>95</v>
      </c>
      <c r="E21" s="130">
        <v>0.9</v>
      </c>
      <c r="F21" s="131">
        <v>5.1900000000000002E-2</v>
      </c>
      <c r="G21" s="131">
        <v>7.0953965999999993E-2</v>
      </c>
      <c r="H21" s="132">
        <v>0</v>
      </c>
      <c r="I21" s="129" t="s">
        <v>53</v>
      </c>
      <c r="J21" s="129" t="s">
        <v>52</v>
      </c>
      <c r="K21" s="133">
        <v>0</v>
      </c>
      <c r="L21" s="129" t="s">
        <v>52</v>
      </c>
      <c r="M21" s="221" t="s">
        <v>284</v>
      </c>
      <c r="N21" s="129" t="s">
        <v>53</v>
      </c>
      <c r="P21" s="184" t="s">
        <v>30</v>
      </c>
      <c r="Q21" s="184" t="s">
        <v>30</v>
      </c>
      <c r="R21" s="129">
        <f t="shared" si="2"/>
        <v>54183</v>
      </c>
      <c r="S21" s="3">
        <f t="shared" si="0"/>
        <v>1</v>
      </c>
      <c r="T21" s="3" t="s">
        <v>30</v>
      </c>
      <c r="U21" s="185" t="str">
        <f t="shared" si="1"/>
        <v>N/A</v>
      </c>
      <c r="W21" s="3" t="s">
        <v>90</v>
      </c>
      <c r="AA21" s="3"/>
      <c r="AB21" s="17">
        <v>1.4</v>
      </c>
    </row>
    <row r="22" spans="1:28" ht="18.75" customHeight="1" x14ac:dyDescent="0.35">
      <c r="A22" s="129">
        <v>54185</v>
      </c>
      <c r="B22" s="129">
        <v>5</v>
      </c>
      <c r="C22" s="129" t="s">
        <v>56</v>
      </c>
      <c r="D22" s="129" t="s">
        <v>95</v>
      </c>
      <c r="E22" s="130">
        <v>0.95</v>
      </c>
      <c r="F22" s="131">
        <v>5.3499999999999999E-2</v>
      </c>
      <c r="G22" s="131">
        <v>7.1677043999999995E-2</v>
      </c>
      <c r="H22" s="132">
        <v>0</v>
      </c>
      <c r="I22" s="129" t="s">
        <v>53</v>
      </c>
      <c r="J22" s="129" t="s">
        <v>52</v>
      </c>
      <c r="K22" s="133">
        <v>0</v>
      </c>
      <c r="L22" s="129" t="s">
        <v>52</v>
      </c>
      <c r="M22" s="221" t="s">
        <v>284</v>
      </c>
      <c r="N22" s="129" t="s">
        <v>53</v>
      </c>
      <c r="P22" s="184" t="s">
        <v>30</v>
      </c>
      <c r="Q22" s="184" t="s">
        <v>30</v>
      </c>
      <c r="R22" s="129">
        <f t="shared" si="2"/>
        <v>54185</v>
      </c>
      <c r="S22" s="3">
        <f t="shared" si="0"/>
        <v>1</v>
      </c>
      <c r="T22" s="3" t="s">
        <v>30</v>
      </c>
      <c r="U22" s="185" t="str">
        <f t="shared" si="1"/>
        <v>N/A</v>
      </c>
      <c r="W22" s="3" t="s">
        <v>102</v>
      </c>
      <c r="AA22" s="3"/>
      <c r="AB22" s="17">
        <v>1.45</v>
      </c>
    </row>
    <row r="23" spans="1:28" ht="18.75" customHeight="1" x14ac:dyDescent="0.35">
      <c r="A23" s="129"/>
      <c r="B23" s="129"/>
      <c r="C23" s="129"/>
      <c r="D23" s="129"/>
      <c r="E23" s="130"/>
      <c r="F23" s="131"/>
      <c r="G23" s="131"/>
      <c r="H23" s="132"/>
      <c r="I23" s="129"/>
      <c r="J23" s="129"/>
      <c r="K23" s="133"/>
      <c r="L23" s="129"/>
      <c r="M23" s="221"/>
      <c r="N23" s="129"/>
      <c r="P23" s="184" t="s">
        <v>30</v>
      </c>
      <c r="Q23" s="184" t="s">
        <v>30</v>
      </c>
      <c r="R23" s="129" t="str">
        <f t="shared" si="2"/>
        <v/>
      </c>
      <c r="S23" s="3">
        <f t="shared" si="0"/>
        <v>1</v>
      </c>
      <c r="T23" s="3" t="s">
        <v>30</v>
      </c>
      <c r="U23" s="185" t="str">
        <f t="shared" si="1"/>
        <v>N/A</v>
      </c>
      <c r="W23" s="3" t="s">
        <v>101</v>
      </c>
      <c r="AA23" s="3"/>
      <c r="AB23" s="17">
        <v>1.5</v>
      </c>
    </row>
    <row r="24" spans="1:28" ht="18.75" customHeight="1" x14ac:dyDescent="0.35">
      <c r="A24" s="129"/>
      <c r="B24" s="129"/>
      <c r="C24" s="129"/>
      <c r="D24" s="129"/>
      <c r="E24" s="130"/>
      <c r="F24" s="131"/>
      <c r="G24" s="131"/>
      <c r="H24" s="132"/>
      <c r="I24" s="129"/>
      <c r="J24" s="129"/>
      <c r="K24" s="133"/>
      <c r="L24" s="129"/>
      <c r="M24" s="221"/>
      <c r="N24" s="129"/>
      <c r="P24" s="184" t="s">
        <v>30</v>
      </c>
      <c r="Q24" s="184" t="s">
        <v>30</v>
      </c>
      <c r="R24" s="129" t="str">
        <f t="shared" si="2"/>
        <v/>
      </c>
      <c r="S24" s="3">
        <f t="shared" si="0"/>
        <v>1</v>
      </c>
      <c r="T24" s="3" t="s">
        <v>30</v>
      </c>
      <c r="U24" s="185" t="str">
        <f t="shared" si="1"/>
        <v>N/A</v>
      </c>
      <c r="W24" s="3"/>
      <c r="AA24" s="3"/>
      <c r="AB24" s="17"/>
    </row>
    <row r="25" spans="1:28" ht="18.75" customHeight="1" x14ac:dyDescent="0.35">
      <c r="A25" s="129"/>
      <c r="B25" s="129"/>
      <c r="C25" s="129"/>
      <c r="D25" s="129"/>
      <c r="E25" s="130"/>
      <c r="F25" s="131"/>
      <c r="G25" s="131"/>
      <c r="H25" s="132"/>
      <c r="I25" s="129"/>
      <c r="J25" s="129"/>
      <c r="K25" s="133"/>
      <c r="L25" s="129"/>
      <c r="M25" s="221"/>
      <c r="N25" s="129"/>
      <c r="P25" s="184" t="s">
        <v>30</v>
      </c>
      <c r="Q25" s="184" t="s">
        <v>30</v>
      </c>
      <c r="R25" s="129" t="str">
        <f t="shared" si="2"/>
        <v/>
      </c>
      <c r="S25" s="3">
        <f t="shared" si="0"/>
        <v>1</v>
      </c>
      <c r="T25" s="3" t="s">
        <v>30</v>
      </c>
      <c r="U25" s="185" t="str">
        <f t="shared" si="1"/>
        <v>N/A</v>
      </c>
      <c r="W25" s="3"/>
      <c r="AA25" s="3"/>
      <c r="AB25" s="17"/>
    </row>
    <row r="26" spans="1:28" ht="18.75" customHeight="1" x14ac:dyDescent="0.35">
      <c r="A26" s="129"/>
      <c r="B26" s="129"/>
      <c r="C26" s="129"/>
      <c r="D26" s="129"/>
      <c r="E26" s="130"/>
      <c r="F26" s="131"/>
      <c r="G26" s="131"/>
      <c r="H26" s="132"/>
      <c r="I26" s="129"/>
      <c r="J26" s="129"/>
      <c r="K26" s="133"/>
      <c r="L26" s="129"/>
      <c r="M26" s="221"/>
      <c r="N26" s="129"/>
      <c r="P26" s="184" t="s">
        <v>30</v>
      </c>
      <c r="Q26" s="184" t="s">
        <v>30</v>
      </c>
      <c r="R26" s="129" t="str">
        <f t="shared" si="2"/>
        <v/>
      </c>
      <c r="S26" s="3">
        <f t="shared" si="0"/>
        <v>1</v>
      </c>
      <c r="T26" s="3" t="s">
        <v>30</v>
      </c>
      <c r="U26" s="185" t="str">
        <f t="shared" si="1"/>
        <v>N/A</v>
      </c>
      <c r="W26" s="3"/>
      <c r="AA26" s="3"/>
      <c r="AB26" s="17"/>
    </row>
    <row r="27" spans="1:28" ht="18.75" customHeight="1" x14ac:dyDescent="0.35">
      <c r="A27" s="129"/>
      <c r="B27" s="129"/>
      <c r="C27" s="129"/>
      <c r="D27" s="129"/>
      <c r="E27" s="130"/>
      <c r="F27" s="131"/>
      <c r="G27" s="131"/>
      <c r="H27" s="132"/>
      <c r="I27" s="129"/>
      <c r="J27" s="129"/>
      <c r="K27" s="133"/>
      <c r="L27" s="129"/>
      <c r="M27" s="221"/>
      <c r="N27" s="129"/>
      <c r="P27" s="184" t="s">
        <v>30</v>
      </c>
      <c r="Q27" s="184" t="s">
        <v>30</v>
      </c>
      <c r="R27" s="129" t="str">
        <f t="shared" si="2"/>
        <v/>
      </c>
      <c r="S27" s="3">
        <f t="shared" si="0"/>
        <v>1</v>
      </c>
      <c r="T27" s="3" t="s">
        <v>30</v>
      </c>
      <c r="U27" s="185" t="str">
        <f t="shared" si="1"/>
        <v>N/A</v>
      </c>
      <c r="W27" s="3"/>
      <c r="AA27" s="3"/>
      <c r="AB27" s="17"/>
    </row>
    <row r="28" spans="1:28" ht="18.75" customHeight="1" x14ac:dyDescent="0.35">
      <c r="A28" s="129"/>
      <c r="B28" s="129"/>
      <c r="C28" s="129"/>
      <c r="D28" s="129"/>
      <c r="E28" s="130"/>
      <c r="F28" s="131"/>
      <c r="G28" s="131"/>
      <c r="H28" s="132"/>
      <c r="I28" s="129"/>
      <c r="J28" s="129"/>
      <c r="K28" s="133"/>
      <c r="L28" s="129"/>
      <c r="M28" s="221"/>
      <c r="N28" s="129"/>
      <c r="P28" s="184" t="s">
        <v>30</v>
      </c>
      <c r="Q28" s="184" t="s">
        <v>30</v>
      </c>
      <c r="R28" s="129" t="str">
        <f t="shared" si="2"/>
        <v/>
      </c>
      <c r="S28" s="3">
        <f t="shared" si="0"/>
        <v>1</v>
      </c>
      <c r="T28" s="3" t="s">
        <v>30</v>
      </c>
      <c r="U28" s="185" t="str">
        <f t="shared" si="1"/>
        <v>N/A</v>
      </c>
      <c r="W28" s="3"/>
      <c r="AA28" s="3"/>
      <c r="AB28" s="17"/>
    </row>
    <row r="29" spans="1:28" ht="18.75" customHeight="1" x14ac:dyDescent="0.35">
      <c r="A29" s="129"/>
      <c r="B29" s="129"/>
      <c r="C29" s="129"/>
      <c r="D29" s="129"/>
      <c r="E29" s="130"/>
      <c r="F29" s="131"/>
      <c r="G29" s="131"/>
      <c r="H29" s="132"/>
      <c r="I29" s="129"/>
      <c r="J29" s="129"/>
      <c r="K29" s="133"/>
      <c r="L29" s="129"/>
      <c r="M29" s="221"/>
      <c r="N29" s="129"/>
      <c r="P29" s="184" t="s">
        <v>30</v>
      </c>
      <c r="Q29" s="184" t="s">
        <v>30</v>
      </c>
      <c r="R29" s="129" t="str">
        <f t="shared" si="2"/>
        <v/>
      </c>
      <c r="S29" s="3">
        <f t="shared" si="0"/>
        <v>1</v>
      </c>
      <c r="T29" s="3" t="s">
        <v>30</v>
      </c>
      <c r="U29" s="185" t="str">
        <f t="shared" si="1"/>
        <v>N/A</v>
      </c>
      <c r="W29" s="3"/>
      <c r="AA29" s="3"/>
      <c r="AB29" s="17"/>
    </row>
    <row r="30" spans="1:28" ht="18.75" customHeight="1" x14ac:dyDescent="0.35">
      <c r="A30" s="129"/>
      <c r="B30" s="129"/>
      <c r="C30" s="129"/>
      <c r="D30" s="129"/>
      <c r="E30" s="130"/>
      <c r="F30" s="131"/>
      <c r="G30" s="131"/>
      <c r="H30" s="132"/>
      <c r="I30" s="129"/>
      <c r="J30" s="129"/>
      <c r="K30" s="133"/>
      <c r="L30" s="129"/>
      <c r="M30" s="221"/>
      <c r="N30" s="129"/>
      <c r="P30" s="184" t="s">
        <v>30</v>
      </c>
      <c r="Q30" s="184" t="s">
        <v>30</v>
      </c>
      <c r="R30" s="129" t="str">
        <f t="shared" si="2"/>
        <v/>
      </c>
      <c r="S30" s="3">
        <f t="shared" si="0"/>
        <v>1</v>
      </c>
      <c r="T30" s="3" t="s">
        <v>30</v>
      </c>
      <c r="U30" s="185" t="str">
        <f t="shared" si="1"/>
        <v>N/A</v>
      </c>
      <c r="W30" s="3"/>
      <c r="AA30" s="3"/>
      <c r="AB30" s="17"/>
    </row>
    <row r="31" spans="1:28" ht="18.75" customHeight="1" x14ac:dyDescent="0.35">
      <c r="A31" s="129"/>
      <c r="B31" s="129"/>
      <c r="C31" s="129"/>
      <c r="D31" s="129"/>
      <c r="E31" s="130"/>
      <c r="F31" s="131"/>
      <c r="G31" s="131"/>
      <c r="H31" s="132"/>
      <c r="I31" s="129"/>
      <c r="J31" s="129"/>
      <c r="K31" s="133"/>
      <c r="L31" s="129"/>
      <c r="M31" s="221"/>
      <c r="N31" s="129"/>
      <c r="P31" s="184" t="s">
        <v>30</v>
      </c>
      <c r="Q31" s="184" t="s">
        <v>30</v>
      </c>
      <c r="R31" s="129" t="str">
        <f t="shared" si="2"/>
        <v/>
      </c>
      <c r="S31" s="3">
        <f t="shared" si="0"/>
        <v>1</v>
      </c>
      <c r="T31" s="3" t="s">
        <v>30</v>
      </c>
      <c r="U31" s="185" t="str">
        <f t="shared" si="1"/>
        <v>N/A</v>
      </c>
      <c r="W31" s="3"/>
      <c r="AA31" s="3"/>
      <c r="AB31" s="17"/>
    </row>
    <row r="32" spans="1:28" ht="18.75" customHeight="1" x14ac:dyDescent="0.35">
      <c r="A32" s="129"/>
      <c r="B32" s="129"/>
      <c r="C32" s="129"/>
      <c r="D32" s="129"/>
      <c r="E32" s="130"/>
      <c r="F32" s="131"/>
      <c r="G32" s="131"/>
      <c r="H32" s="132"/>
      <c r="I32" s="129"/>
      <c r="J32" s="129"/>
      <c r="K32" s="133"/>
      <c r="L32" s="129"/>
      <c r="M32" s="221"/>
      <c r="N32" s="129"/>
      <c r="P32" s="184" t="s">
        <v>30</v>
      </c>
      <c r="Q32" s="184" t="s">
        <v>30</v>
      </c>
      <c r="R32" s="129" t="str">
        <f t="shared" si="2"/>
        <v/>
      </c>
      <c r="S32" s="3">
        <f t="shared" si="0"/>
        <v>1</v>
      </c>
      <c r="T32" s="3" t="s">
        <v>30</v>
      </c>
      <c r="U32" s="185" t="str">
        <f t="shared" si="1"/>
        <v>N/A</v>
      </c>
      <c r="W32" s="3"/>
      <c r="AA32" s="3"/>
      <c r="AB32" s="17"/>
    </row>
    <row r="33" spans="1:28" ht="18.75" customHeight="1" x14ac:dyDescent="0.35">
      <c r="A33" s="129"/>
      <c r="B33" s="129"/>
      <c r="C33" s="129"/>
      <c r="D33" s="129"/>
      <c r="E33" s="130"/>
      <c r="F33" s="131"/>
      <c r="G33" s="131"/>
      <c r="H33" s="132"/>
      <c r="I33" s="129"/>
      <c r="J33" s="129"/>
      <c r="K33" s="133"/>
      <c r="L33" s="129"/>
      <c r="M33" s="221"/>
      <c r="N33" s="129"/>
      <c r="P33" s="184" t="s">
        <v>30</v>
      </c>
      <c r="Q33" s="184" t="s">
        <v>30</v>
      </c>
      <c r="R33" s="129" t="str">
        <f t="shared" si="2"/>
        <v/>
      </c>
      <c r="S33" s="3">
        <f t="shared" si="0"/>
        <v>1</v>
      </c>
      <c r="T33" s="3" t="s">
        <v>30</v>
      </c>
      <c r="U33" s="185" t="str">
        <f t="shared" si="1"/>
        <v>N/A</v>
      </c>
      <c r="W33" s="3"/>
      <c r="AA33" s="3"/>
      <c r="AB33" s="17"/>
    </row>
    <row r="34" spans="1:28" ht="18.75" customHeight="1" x14ac:dyDescent="0.35">
      <c r="A34" s="129"/>
      <c r="B34" s="129"/>
      <c r="C34" s="129"/>
      <c r="D34" s="129"/>
      <c r="E34" s="130"/>
      <c r="F34" s="131"/>
      <c r="G34" s="131"/>
      <c r="H34" s="132"/>
      <c r="I34" s="129"/>
      <c r="J34" s="129"/>
      <c r="K34" s="133"/>
      <c r="L34" s="129"/>
      <c r="M34" s="221"/>
      <c r="N34" s="129"/>
      <c r="P34" s="184" t="s">
        <v>30</v>
      </c>
      <c r="Q34" s="184" t="s">
        <v>30</v>
      </c>
      <c r="R34" s="129" t="str">
        <f t="shared" si="2"/>
        <v/>
      </c>
      <c r="S34" s="3">
        <f t="shared" si="0"/>
        <v>1</v>
      </c>
      <c r="T34" s="3" t="s">
        <v>30</v>
      </c>
      <c r="U34" s="185" t="str">
        <f t="shared" si="1"/>
        <v>N/A</v>
      </c>
      <c r="W34" s="3"/>
      <c r="AA34" s="3"/>
      <c r="AB34" s="17"/>
    </row>
    <row r="35" spans="1:28" ht="18.75" customHeight="1" x14ac:dyDescent="0.35">
      <c r="A35" s="129"/>
      <c r="B35" s="129"/>
      <c r="C35" s="129"/>
      <c r="D35" s="129"/>
      <c r="E35" s="130"/>
      <c r="F35" s="131"/>
      <c r="G35" s="131"/>
      <c r="H35" s="132"/>
      <c r="I35" s="129"/>
      <c r="J35" s="129"/>
      <c r="K35" s="133"/>
      <c r="L35" s="129"/>
      <c r="M35" s="221"/>
      <c r="N35" s="129"/>
      <c r="P35" s="184" t="s">
        <v>30</v>
      </c>
      <c r="Q35" s="184" t="s">
        <v>30</v>
      </c>
      <c r="R35" s="129" t="str">
        <f t="shared" si="2"/>
        <v/>
      </c>
      <c r="S35" s="3">
        <f t="shared" si="0"/>
        <v>1</v>
      </c>
      <c r="T35" s="3" t="s">
        <v>30</v>
      </c>
      <c r="U35" s="185" t="str">
        <f t="shared" si="1"/>
        <v>N/A</v>
      </c>
      <c r="W35" s="3"/>
      <c r="AA35" s="3"/>
      <c r="AB35" s="17"/>
    </row>
    <row r="36" spans="1:28" ht="18.75" customHeight="1" x14ac:dyDescent="0.35">
      <c r="A36" s="129"/>
      <c r="B36" s="129"/>
      <c r="C36" s="129"/>
      <c r="D36" s="129"/>
      <c r="E36" s="130"/>
      <c r="F36" s="131"/>
      <c r="G36" s="131"/>
      <c r="H36" s="132"/>
      <c r="I36" s="129"/>
      <c r="J36" s="129"/>
      <c r="K36" s="133"/>
      <c r="L36" s="129"/>
      <c r="M36" s="221"/>
      <c r="N36" s="129"/>
      <c r="P36" s="184" t="s">
        <v>30</v>
      </c>
      <c r="Q36" s="184" t="s">
        <v>30</v>
      </c>
      <c r="R36" s="129" t="str">
        <f t="shared" si="2"/>
        <v/>
      </c>
      <c r="S36" s="3">
        <f t="shared" si="0"/>
        <v>1</v>
      </c>
      <c r="T36" s="3" t="s">
        <v>30</v>
      </c>
      <c r="U36" s="185" t="str">
        <f t="shared" si="1"/>
        <v>N/A</v>
      </c>
      <c r="W36" s="3"/>
      <c r="AA36" s="3"/>
      <c r="AB36" s="17"/>
    </row>
    <row r="37" spans="1:28" ht="18.75" customHeight="1" x14ac:dyDescent="0.35">
      <c r="A37" s="129"/>
      <c r="B37" s="129"/>
      <c r="C37" s="129"/>
      <c r="D37" s="129"/>
      <c r="E37" s="130"/>
      <c r="F37" s="131"/>
      <c r="G37" s="131"/>
      <c r="H37" s="132"/>
      <c r="I37" s="129"/>
      <c r="J37" s="129"/>
      <c r="K37" s="133"/>
      <c r="L37" s="129"/>
      <c r="M37" s="221"/>
      <c r="N37" s="129"/>
      <c r="P37" s="184" t="s">
        <v>30</v>
      </c>
      <c r="Q37" s="184" t="s">
        <v>30</v>
      </c>
      <c r="R37" s="129" t="str">
        <f t="shared" si="2"/>
        <v/>
      </c>
      <c r="S37" s="3">
        <f t="shared" si="0"/>
        <v>1</v>
      </c>
      <c r="T37" s="3" t="s">
        <v>30</v>
      </c>
      <c r="U37" s="185" t="str">
        <f t="shared" si="1"/>
        <v>N/A</v>
      </c>
      <c r="W37" s="3"/>
      <c r="AA37" s="3"/>
      <c r="AB37" s="17"/>
    </row>
    <row r="38" spans="1:28" ht="18.75" customHeight="1" x14ac:dyDescent="0.35">
      <c r="A38" s="129"/>
      <c r="B38" s="129"/>
      <c r="C38" s="129"/>
      <c r="D38" s="129"/>
      <c r="E38" s="130"/>
      <c r="F38" s="131"/>
      <c r="G38" s="131"/>
      <c r="H38" s="132"/>
      <c r="I38" s="129"/>
      <c r="J38" s="129"/>
      <c r="K38" s="133"/>
      <c r="L38" s="129"/>
      <c r="M38" s="221"/>
      <c r="N38" s="129"/>
      <c r="P38" s="184" t="s">
        <v>30</v>
      </c>
      <c r="Q38" s="184" t="s">
        <v>30</v>
      </c>
      <c r="R38" s="129" t="str">
        <f t="shared" si="2"/>
        <v/>
      </c>
      <c r="S38" s="3">
        <f t="shared" si="0"/>
        <v>1</v>
      </c>
      <c r="T38" s="3" t="s">
        <v>30</v>
      </c>
      <c r="U38" s="185" t="str">
        <f t="shared" si="1"/>
        <v>N/A</v>
      </c>
      <c r="W38" s="3"/>
      <c r="AA38" s="3"/>
      <c r="AB38" s="17"/>
    </row>
    <row r="39" spans="1:28" ht="18.75" customHeight="1" x14ac:dyDescent="0.35">
      <c r="A39" s="129"/>
      <c r="B39" s="129"/>
      <c r="C39" s="129"/>
      <c r="D39" s="129"/>
      <c r="E39" s="130"/>
      <c r="F39" s="131"/>
      <c r="G39" s="131"/>
      <c r="H39" s="132"/>
      <c r="I39" s="129"/>
      <c r="J39" s="129"/>
      <c r="K39" s="133"/>
      <c r="L39" s="129"/>
      <c r="M39" s="221"/>
      <c r="N39" s="129"/>
      <c r="P39" s="184" t="s">
        <v>30</v>
      </c>
      <c r="Q39" s="184" t="s">
        <v>30</v>
      </c>
      <c r="R39" s="129" t="str">
        <f t="shared" si="2"/>
        <v/>
      </c>
      <c r="S39" s="3">
        <f t="shared" si="0"/>
        <v>1</v>
      </c>
      <c r="T39" s="3" t="s">
        <v>30</v>
      </c>
      <c r="U39" s="185" t="str">
        <f t="shared" si="1"/>
        <v>N/A</v>
      </c>
      <c r="W39" s="3"/>
      <c r="AA39" s="3"/>
      <c r="AB39" s="17"/>
    </row>
    <row r="40" spans="1:28" ht="18.75" customHeight="1" x14ac:dyDescent="0.35">
      <c r="A40" s="129"/>
      <c r="B40" s="129"/>
      <c r="C40" s="129"/>
      <c r="D40" s="129"/>
      <c r="E40" s="130"/>
      <c r="F40" s="131"/>
      <c r="G40" s="131"/>
      <c r="H40" s="132"/>
      <c r="I40" s="129"/>
      <c r="J40" s="129"/>
      <c r="K40" s="133"/>
      <c r="L40" s="129"/>
      <c r="M40" s="221"/>
      <c r="N40" s="129"/>
      <c r="P40" s="184" t="s">
        <v>30</v>
      </c>
      <c r="Q40" s="184" t="s">
        <v>30</v>
      </c>
      <c r="R40" s="129" t="str">
        <f t="shared" si="2"/>
        <v/>
      </c>
      <c r="S40" s="3">
        <f t="shared" si="0"/>
        <v>1</v>
      </c>
      <c r="T40" s="3" t="s">
        <v>30</v>
      </c>
      <c r="U40" s="185" t="str">
        <f t="shared" si="1"/>
        <v>N/A</v>
      </c>
      <c r="W40" s="3"/>
      <c r="AA40" s="3"/>
      <c r="AB40" s="17"/>
    </row>
    <row r="41" spans="1:28" ht="18.75" customHeight="1" x14ac:dyDescent="0.35">
      <c r="A41" s="11"/>
      <c r="B41" s="11"/>
      <c r="C41" s="11"/>
      <c r="D41" s="11"/>
      <c r="E41" s="12"/>
      <c r="F41" s="13"/>
      <c r="G41" s="131"/>
      <c r="H41" s="65"/>
      <c r="I41" s="11"/>
      <c r="J41" s="129"/>
      <c r="K41" s="14"/>
      <c r="L41" s="11"/>
      <c r="M41" s="222"/>
      <c r="N41" s="11"/>
      <c r="P41" s="184" t="s">
        <v>30</v>
      </c>
      <c r="Q41" s="184" t="s">
        <v>30</v>
      </c>
      <c r="R41" s="129" t="str">
        <f t="shared" si="2"/>
        <v/>
      </c>
      <c r="S41" s="3">
        <f t="shared" si="0"/>
        <v>1</v>
      </c>
      <c r="T41" s="3" t="s">
        <v>30</v>
      </c>
      <c r="U41" s="185" t="str">
        <f t="shared" si="1"/>
        <v>N/A</v>
      </c>
    </row>
    <row r="42" spans="1:28" ht="18.75" customHeight="1" x14ac:dyDescent="0.35">
      <c r="A42" s="11"/>
      <c r="B42" s="11"/>
      <c r="C42" s="11"/>
      <c r="D42" s="11"/>
      <c r="E42" s="12"/>
      <c r="F42" s="13"/>
      <c r="G42" s="131"/>
      <c r="H42" s="65"/>
      <c r="I42" s="11"/>
      <c r="J42" s="129"/>
      <c r="K42" s="14"/>
      <c r="L42" s="11"/>
      <c r="M42" s="222"/>
      <c r="N42" s="11"/>
      <c r="P42" s="184" t="s">
        <v>30</v>
      </c>
      <c r="Q42" s="184" t="s">
        <v>30</v>
      </c>
      <c r="R42" s="129" t="str">
        <f t="shared" si="2"/>
        <v/>
      </c>
      <c r="S42" s="3">
        <f t="shared" si="0"/>
        <v>1</v>
      </c>
      <c r="T42" s="3" t="s">
        <v>30</v>
      </c>
      <c r="U42" s="185" t="str">
        <f t="shared" si="1"/>
        <v>N/A</v>
      </c>
    </row>
    <row r="43" spans="1:28" ht="18.75" customHeight="1" x14ac:dyDescent="0.35">
      <c r="A43" s="11"/>
      <c r="B43" s="11"/>
      <c r="C43" s="11"/>
      <c r="D43" s="11"/>
      <c r="E43" s="12"/>
      <c r="F43" s="13"/>
      <c r="G43" s="131"/>
      <c r="H43" s="65"/>
      <c r="I43" s="11"/>
      <c r="J43" s="129"/>
      <c r="K43" s="14"/>
      <c r="L43" s="11"/>
      <c r="M43" s="222"/>
      <c r="N43" s="11"/>
      <c r="P43" s="184" t="s">
        <v>30</v>
      </c>
      <c r="Q43" s="184" t="s">
        <v>30</v>
      </c>
      <c r="R43" s="129" t="str">
        <f t="shared" si="2"/>
        <v/>
      </c>
      <c r="S43" s="3">
        <f t="shared" si="0"/>
        <v>1</v>
      </c>
      <c r="T43" s="3" t="s">
        <v>30</v>
      </c>
      <c r="U43" s="185" t="str">
        <f t="shared" si="1"/>
        <v>N/A</v>
      </c>
    </row>
    <row r="44" spans="1:28" ht="18.75" customHeight="1" x14ac:dyDescent="0.35">
      <c r="A44" s="11"/>
      <c r="B44" s="11"/>
      <c r="C44" s="11"/>
      <c r="D44" s="11"/>
      <c r="E44" s="12"/>
      <c r="F44" s="13"/>
      <c r="G44" s="131"/>
      <c r="H44" s="65"/>
      <c r="I44" s="11"/>
      <c r="J44" s="129"/>
      <c r="K44" s="14"/>
      <c r="L44" s="11"/>
      <c r="M44" s="222"/>
      <c r="N44" s="11"/>
      <c r="P44" s="184" t="s">
        <v>30</v>
      </c>
      <c r="Q44" s="184" t="s">
        <v>30</v>
      </c>
      <c r="R44" s="129" t="str">
        <f t="shared" si="2"/>
        <v/>
      </c>
      <c r="S44" s="3">
        <f t="shared" si="0"/>
        <v>1</v>
      </c>
      <c r="T44" s="3" t="s">
        <v>30</v>
      </c>
      <c r="U44" s="185" t="str">
        <f t="shared" si="1"/>
        <v>N/A</v>
      </c>
    </row>
    <row r="45" spans="1:28" ht="18.75" customHeight="1" x14ac:dyDescent="0.35">
      <c r="A45" s="11"/>
      <c r="B45" s="11"/>
      <c r="C45" s="11"/>
      <c r="D45" s="11"/>
      <c r="E45" s="12"/>
      <c r="F45" s="13"/>
      <c r="G45" s="131"/>
      <c r="H45" s="65"/>
      <c r="I45" s="11"/>
      <c r="J45" s="129"/>
      <c r="K45" s="14"/>
      <c r="L45" s="11"/>
      <c r="M45" s="222"/>
      <c r="N45" s="11"/>
      <c r="P45" s="184" t="s">
        <v>30</v>
      </c>
      <c r="Q45" s="184" t="s">
        <v>30</v>
      </c>
      <c r="R45" s="129" t="str">
        <f t="shared" si="2"/>
        <v/>
      </c>
      <c r="S45" s="3">
        <f t="shared" si="0"/>
        <v>1</v>
      </c>
      <c r="T45" s="3" t="s">
        <v>30</v>
      </c>
      <c r="U45" s="185" t="str">
        <f t="shared" si="1"/>
        <v>N/A</v>
      </c>
    </row>
    <row r="46" spans="1:28" ht="18.75" customHeight="1" x14ac:dyDescent="0.35">
      <c r="A46" s="11"/>
      <c r="B46" s="11"/>
      <c r="C46" s="11"/>
      <c r="D46" s="11"/>
      <c r="E46" s="12"/>
      <c r="F46" s="13"/>
      <c r="G46" s="131"/>
      <c r="H46" s="65"/>
      <c r="I46" s="11"/>
      <c r="J46" s="129"/>
      <c r="K46" s="14"/>
      <c r="L46" s="11"/>
      <c r="M46" s="222"/>
      <c r="N46" s="11"/>
      <c r="P46" s="184" t="s">
        <v>30</v>
      </c>
      <c r="Q46" s="184" t="s">
        <v>30</v>
      </c>
      <c r="R46" s="129" t="str">
        <f t="shared" si="2"/>
        <v/>
      </c>
      <c r="S46" s="3">
        <f t="shared" si="0"/>
        <v>1</v>
      </c>
      <c r="T46" s="3" t="s">
        <v>30</v>
      </c>
      <c r="U46" s="185" t="str">
        <f t="shared" si="1"/>
        <v>N/A</v>
      </c>
    </row>
    <row r="47" spans="1:28" ht="18.75" customHeight="1" x14ac:dyDescent="0.35">
      <c r="A47" s="11"/>
      <c r="B47" s="11"/>
      <c r="C47" s="11"/>
      <c r="D47" s="11"/>
      <c r="E47" s="12"/>
      <c r="F47" s="13"/>
      <c r="G47" s="131"/>
      <c r="H47" s="65"/>
      <c r="I47" s="11"/>
      <c r="J47" s="129"/>
      <c r="K47" s="14"/>
      <c r="L47" s="11"/>
      <c r="M47" s="11"/>
      <c r="N47" s="11"/>
      <c r="P47" s="184" t="s">
        <v>30</v>
      </c>
      <c r="Q47" s="184" t="s">
        <v>30</v>
      </c>
      <c r="R47" s="129" t="str">
        <f t="shared" si="2"/>
        <v/>
      </c>
      <c r="S47" s="3">
        <f t="shared" si="0"/>
        <v>1</v>
      </c>
      <c r="T47" s="3" t="s">
        <v>30</v>
      </c>
      <c r="U47" s="185" t="str">
        <f t="shared" si="1"/>
        <v>N/A</v>
      </c>
    </row>
    <row r="48" spans="1:28" ht="18.75" customHeight="1" x14ac:dyDescent="0.35">
      <c r="A48" s="11"/>
      <c r="B48" s="11"/>
      <c r="C48" s="11"/>
      <c r="D48" s="11"/>
      <c r="E48" s="12"/>
      <c r="F48" s="13"/>
      <c r="G48" s="131"/>
      <c r="H48" s="65"/>
      <c r="I48" s="11"/>
      <c r="J48" s="129"/>
      <c r="K48" s="14"/>
      <c r="L48" s="11"/>
      <c r="M48" s="11"/>
      <c r="N48" s="11"/>
      <c r="P48" s="184" t="s">
        <v>30</v>
      </c>
      <c r="Q48" s="184" t="s">
        <v>30</v>
      </c>
      <c r="R48" s="129" t="str">
        <f t="shared" si="2"/>
        <v/>
      </c>
      <c r="S48" s="3">
        <f t="shared" si="0"/>
        <v>1</v>
      </c>
      <c r="T48" s="3" t="s">
        <v>30</v>
      </c>
      <c r="U48" s="185" t="str">
        <f t="shared" si="1"/>
        <v>N/A</v>
      </c>
    </row>
    <row r="49" spans="1:21" ht="18.75" customHeight="1" x14ac:dyDescent="0.35">
      <c r="A49" s="11"/>
      <c r="B49" s="11"/>
      <c r="C49" s="11"/>
      <c r="D49" s="11"/>
      <c r="E49" s="12"/>
      <c r="F49" s="13"/>
      <c r="G49" s="13"/>
      <c r="H49" s="65"/>
      <c r="I49" s="11"/>
      <c r="J49" s="129"/>
      <c r="K49" s="14"/>
      <c r="L49" s="11"/>
      <c r="M49" s="11"/>
      <c r="N49" s="11"/>
      <c r="P49" s="184" t="s">
        <v>30</v>
      </c>
      <c r="Q49" s="184" t="s">
        <v>30</v>
      </c>
      <c r="R49" s="129" t="str">
        <f t="shared" si="2"/>
        <v/>
      </c>
      <c r="S49" s="3">
        <f t="shared" si="0"/>
        <v>1</v>
      </c>
      <c r="T49" s="3" t="s">
        <v>30</v>
      </c>
      <c r="U49" s="185" t="str">
        <f t="shared" si="1"/>
        <v>N/A</v>
      </c>
    </row>
    <row r="50" spans="1:21" ht="18.75" customHeight="1" x14ac:dyDescent="0.35">
      <c r="A50" s="11"/>
      <c r="B50" s="11"/>
      <c r="C50" s="11"/>
      <c r="D50" s="11"/>
      <c r="E50" s="12"/>
      <c r="F50" s="13"/>
      <c r="G50" s="13"/>
      <c r="H50" s="65"/>
      <c r="I50" s="11"/>
      <c r="J50" s="129"/>
      <c r="K50" s="14"/>
      <c r="L50" s="11"/>
      <c r="M50" s="11"/>
      <c r="N50" s="11"/>
      <c r="P50" s="184" t="s">
        <v>30</v>
      </c>
      <c r="Q50" s="184" t="s">
        <v>30</v>
      </c>
      <c r="R50" s="129" t="str">
        <f t="shared" si="2"/>
        <v/>
      </c>
      <c r="S50" s="3">
        <f t="shared" si="0"/>
        <v>1</v>
      </c>
      <c r="T50" s="3" t="s">
        <v>30</v>
      </c>
      <c r="U50" s="185" t="str">
        <f t="shared" si="1"/>
        <v>N/A</v>
      </c>
    </row>
    <row r="51" spans="1:21" ht="18.75" customHeight="1" x14ac:dyDescent="0.35">
      <c r="A51" s="11"/>
      <c r="B51" s="11"/>
      <c r="C51" s="11"/>
      <c r="D51" s="11"/>
      <c r="E51" s="12"/>
      <c r="F51" s="13"/>
      <c r="G51" s="13"/>
      <c r="H51" s="65"/>
      <c r="I51" s="11"/>
      <c r="J51" s="129"/>
      <c r="K51" s="14"/>
      <c r="L51" s="11"/>
      <c r="M51" s="11"/>
      <c r="N51" s="11"/>
      <c r="P51" s="184" t="s">
        <v>30</v>
      </c>
      <c r="Q51" s="184" t="s">
        <v>30</v>
      </c>
      <c r="R51" s="129" t="str">
        <f t="shared" si="2"/>
        <v/>
      </c>
      <c r="S51" s="3">
        <f t="shared" si="0"/>
        <v>1</v>
      </c>
      <c r="T51" s="3" t="s">
        <v>30</v>
      </c>
      <c r="U51" s="185" t="str">
        <f t="shared" si="1"/>
        <v>N/A</v>
      </c>
    </row>
    <row r="52" spans="1:21" ht="18.75" customHeight="1" x14ac:dyDescent="0.35">
      <c r="A52" s="11"/>
      <c r="B52" s="11"/>
      <c r="C52" s="11"/>
      <c r="D52" s="11"/>
      <c r="E52" s="12"/>
      <c r="F52" s="13"/>
      <c r="G52" s="13"/>
      <c r="H52" s="65"/>
      <c r="I52" s="11"/>
      <c r="J52" s="129"/>
      <c r="K52" s="14"/>
      <c r="L52" s="11"/>
      <c r="M52" s="11"/>
      <c r="N52" s="11"/>
      <c r="P52" s="184" t="s">
        <v>30</v>
      </c>
      <c r="Q52" s="184" t="s">
        <v>30</v>
      </c>
      <c r="R52" s="129" t="str">
        <f t="shared" si="2"/>
        <v/>
      </c>
      <c r="S52" s="3">
        <f t="shared" si="0"/>
        <v>1</v>
      </c>
      <c r="T52" s="3" t="s">
        <v>30</v>
      </c>
      <c r="U52" s="185" t="str">
        <f t="shared" si="1"/>
        <v>N/A</v>
      </c>
    </row>
    <row r="53" spans="1:21" ht="18.75" customHeight="1" x14ac:dyDescent="0.35">
      <c r="A53" s="11"/>
      <c r="B53" s="11"/>
      <c r="C53" s="11"/>
      <c r="D53" s="11"/>
      <c r="E53" s="12"/>
      <c r="F53" s="13"/>
      <c r="G53" s="13"/>
      <c r="H53" s="65"/>
      <c r="I53" s="11"/>
      <c r="J53" s="129"/>
      <c r="K53" s="14"/>
      <c r="L53" s="11"/>
      <c r="M53" s="11"/>
      <c r="N53" s="11"/>
      <c r="P53" s="184" t="s">
        <v>30</v>
      </c>
      <c r="Q53" s="184" t="s">
        <v>30</v>
      </c>
      <c r="R53" s="129" t="str">
        <f t="shared" si="2"/>
        <v/>
      </c>
      <c r="S53" s="3">
        <v>1</v>
      </c>
      <c r="T53" s="3" t="s">
        <v>30</v>
      </c>
      <c r="U53" s="185" t="s">
        <v>61</v>
      </c>
    </row>
    <row r="54" spans="1:21" ht="18.75" customHeight="1" x14ac:dyDescent="0.35">
      <c r="A54" s="11"/>
      <c r="B54" s="11"/>
      <c r="C54" s="11"/>
      <c r="D54" s="11"/>
      <c r="E54" s="12"/>
      <c r="F54" s="13"/>
      <c r="G54" s="13"/>
      <c r="H54" s="65"/>
      <c r="I54" s="11"/>
      <c r="J54" s="129"/>
      <c r="K54" s="14"/>
      <c r="L54" s="11"/>
      <c r="M54" s="11"/>
      <c r="N54" s="11"/>
      <c r="P54" s="184" t="s">
        <v>30</v>
      </c>
      <c r="Q54" s="184" t="s">
        <v>30</v>
      </c>
      <c r="R54" s="129" t="str">
        <f t="shared" si="2"/>
        <v/>
      </c>
      <c r="S54" s="3">
        <v>1</v>
      </c>
      <c r="T54" s="3" t="s">
        <v>30</v>
      </c>
      <c r="U54" s="185" t="s">
        <v>61</v>
      </c>
    </row>
    <row r="55" spans="1:21" ht="18.75" customHeight="1" x14ac:dyDescent="0.35">
      <c r="A55" s="11"/>
      <c r="B55" s="11"/>
      <c r="C55" s="11"/>
      <c r="D55" s="11"/>
      <c r="E55" s="12"/>
      <c r="F55" s="13"/>
      <c r="G55" s="13"/>
      <c r="H55" s="65"/>
      <c r="I55" s="11"/>
      <c r="J55" s="129"/>
      <c r="K55" s="14"/>
      <c r="L55" s="11"/>
      <c r="M55" s="11"/>
      <c r="N55" s="11"/>
      <c r="P55" s="184" t="s">
        <v>30</v>
      </c>
      <c r="Q55" s="184" t="s">
        <v>30</v>
      </c>
      <c r="R55" s="129" t="str">
        <f t="shared" si="2"/>
        <v/>
      </c>
      <c r="S55" s="3">
        <v>1</v>
      </c>
      <c r="T55" s="3" t="s">
        <v>30</v>
      </c>
      <c r="U55" s="185" t="s">
        <v>61</v>
      </c>
    </row>
    <row r="56" spans="1:21" ht="18.75" customHeight="1" x14ac:dyDescent="0.35">
      <c r="A56" s="11"/>
      <c r="B56" s="11"/>
      <c r="C56" s="11"/>
      <c r="D56" s="11"/>
      <c r="E56" s="12"/>
      <c r="F56" s="13"/>
      <c r="G56" s="13"/>
      <c r="H56" s="65"/>
      <c r="I56" s="11"/>
      <c r="J56" s="129"/>
      <c r="K56" s="14"/>
      <c r="L56" s="11"/>
      <c r="M56" s="11"/>
      <c r="N56" s="11"/>
      <c r="P56" s="184" t="s">
        <v>30</v>
      </c>
      <c r="Q56" s="184" t="s">
        <v>30</v>
      </c>
      <c r="R56" s="129" t="str">
        <f t="shared" si="2"/>
        <v/>
      </c>
      <c r="S56" s="3">
        <v>1</v>
      </c>
      <c r="T56" s="3" t="s">
        <v>30</v>
      </c>
      <c r="U56" s="185" t="s">
        <v>61</v>
      </c>
    </row>
    <row r="57" spans="1:21" ht="18.75" customHeight="1" x14ac:dyDescent="0.35">
      <c r="A57" s="11"/>
      <c r="B57" s="11"/>
      <c r="C57" s="11"/>
      <c r="D57" s="11"/>
      <c r="E57" s="12"/>
      <c r="F57" s="13"/>
      <c r="G57" s="13"/>
      <c r="H57" s="65"/>
      <c r="I57" s="11"/>
      <c r="J57" s="129"/>
      <c r="K57" s="14"/>
      <c r="L57" s="11"/>
      <c r="M57" s="11"/>
      <c r="N57" s="11"/>
      <c r="P57" s="184" t="s">
        <v>30</v>
      </c>
      <c r="Q57" s="184" t="s">
        <v>30</v>
      </c>
      <c r="R57" s="129" t="str">
        <f t="shared" si="2"/>
        <v/>
      </c>
      <c r="S57" s="3">
        <v>1</v>
      </c>
      <c r="T57" s="3" t="s">
        <v>30</v>
      </c>
      <c r="U57" s="185" t="s">
        <v>61</v>
      </c>
    </row>
    <row r="58" spans="1:21" ht="18.75" customHeight="1" x14ac:dyDescent="0.35">
      <c r="A58" s="11"/>
      <c r="B58" s="11"/>
      <c r="C58" s="11"/>
      <c r="D58" s="11"/>
      <c r="E58" s="12"/>
      <c r="F58" s="13"/>
      <c r="G58" s="13"/>
      <c r="H58" s="65"/>
      <c r="I58" s="11"/>
      <c r="J58" s="129"/>
      <c r="K58" s="14"/>
      <c r="L58" s="11"/>
      <c r="M58" s="11"/>
      <c r="N58" s="11"/>
      <c r="P58" s="184" t="s">
        <v>30</v>
      </c>
      <c r="Q58" s="184" t="s">
        <v>30</v>
      </c>
      <c r="R58" s="129" t="str">
        <f t="shared" si="2"/>
        <v/>
      </c>
      <c r="S58" s="3">
        <v>1</v>
      </c>
      <c r="T58" s="3" t="s">
        <v>30</v>
      </c>
      <c r="U58" s="185" t="s">
        <v>61</v>
      </c>
    </row>
    <row r="59" spans="1:21" ht="18.75" customHeight="1" x14ac:dyDescent="0.35">
      <c r="A59" s="11"/>
      <c r="B59" s="11"/>
      <c r="C59" s="11"/>
      <c r="D59" s="11"/>
      <c r="E59" s="12"/>
      <c r="F59" s="13"/>
      <c r="G59" s="13"/>
      <c r="H59" s="65"/>
      <c r="I59" s="11"/>
      <c r="J59" s="129"/>
      <c r="K59" s="14"/>
      <c r="L59" s="11"/>
      <c r="M59" s="11"/>
      <c r="N59" s="11"/>
      <c r="P59" s="184" t="s">
        <v>30</v>
      </c>
      <c r="Q59" s="184" t="s">
        <v>30</v>
      </c>
      <c r="R59" s="129" t="str">
        <f t="shared" si="2"/>
        <v/>
      </c>
      <c r="S59" s="3">
        <v>1</v>
      </c>
      <c r="T59" s="3" t="s">
        <v>30</v>
      </c>
      <c r="U59" s="185" t="s">
        <v>61</v>
      </c>
    </row>
    <row r="60" spans="1:21" ht="18.75" customHeight="1" x14ac:dyDescent="0.35">
      <c r="A60" s="11"/>
      <c r="B60" s="11"/>
      <c r="C60" s="11"/>
      <c r="D60" s="11"/>
      <c r="E60" s="12"/>
      <c r="F60" s="13"/>
      <c r="G60" s="13"/>
      <c r="H60" s="65"/>
      <c r="I60" s="11"/>
      <c r="J60" s="129"/>
      <c r="K60" s="14"/>
      <c r="L60" s="11"/>
      <c r="M60" s="11"/>
      <c r="N60" s="11"/>
      <c r="P60" s="184" t="s">
        <v>30</v>
      </c>
      <c r="Q60" s="184" t="s">
        <v>30</v>
      </c>
      <c r="R60" s="129" t="str">
        <f t="shared" si="2"/>
        <v/>
      </c>
      <c r="S60" s="3">
        <v>1</v>
      </c>
      <c r="T60" s="3" t="s">
        <v>30</v>
      </c>
      <c r="U60" s="185" t="s">
        <v>61</v>
      </c>
    </row>
    <row r="61" spans="1:21" ht="18.75" customHeight="1" x14ac:dyDescent="0.35">
      <c r="A61" s="11"/>
      <c r="B61" s="11"/>
      <c r="C61" s="11"/>
      <c r="D61" s="11"/>
      <c r="E61" s="12"/>
      <c r="F61" s="13"/>
      <c r="G61" s="13"/>
      <c r="H61" s="65"/>
      <c r="I61" s="11"/>
      <c r="J61" s="129"/>
      <c r="K61" s="14"/>
      <c r="L61" s="11"/>
      <c r="M61" s="11"/>
      <c r="N61" s="11"/>
      <c r="P61" s="184" t="s">
        <v>30</v>
      </c>
      <c r="Q61" s="184" t="s">
        <v>30</v>
      </c>
      <c r="R61" s="129" t="str">
        <f t="shared" si="2"/>
        <v/>
      </c>
      <c r="S61" s="3">
        <v>1</v>
      </c>
      <c r="T61" s="3" t="s">
        <v>30</v>
      </c>
      <c r="U61" s="185" t="s">
        <v>61</v>
      </c>
    </row>
    <row r="62" spans="1:21" ht="18.75" customHeight="1" x14ac:dyDescent="0.35">
      <c r="A62" s="11"/>
      <c r="B62" s="11"/>
      <c r="C62" s="11"/>
      <c r="D62" s="11"/>
      <c r="E62" s="12"/>
      <c r="F62" s="13"/>
      <c r="G62" s="13"/>
      <c r="H62" s="65"/>
      <c r="I62" s="11"/>
      <c r="J62" s="129"/>
      <c r="K62" s="14"/>
      <c r="L62" s="11"/>
      <c r="M62" s="11"/>
      <c r="N62" s="11"/>
      <c r="P62" s="184" t="s">
        <v>30</v>
      </c>
      <c r="Q62" s="184" t="s">
        <v>30</v>
      </c>
      <c r="R62" s="129" t="str">
        <f t="shared" si="2"/>
        <v/>
      </c>
      <c r="S62" s="3">
        <v>1</v>
      </c>
      <c r="T62" s="3" t="s">
        <v>30</v>
      </c>
      <c r="U62" s="185" t="s">
        <v>61</v>
      </c>
    </row>
    <row r="63" spans="1:21" ht="18.75" customHeight="1" x14ac:dyDescent="0.35">
      <c r="A63" s="11"/>
      <c r="B63" s="11"/>
      <c r="C63" s="11"/>
      <c r="D63" s="11"/>
      <c r="E63" s="12"/>
      <c r="F63" s="13"/>
      <c r="G63" s="13"/>
      <c r="H63" s="65"/>
      <c r="I63" s="11"/>
      <c r="J63" s="129"/>
      <c r="K63" s="14"/>
      <c r="L63" s="11"/>
      <c r="M63" s="11"/>
      <c r="N63" s="11"/>
      <c r="P63" s="184" t="s">
        <v>30</v>
      </c>
      <c r="Q63" s="184" t="s">
        <v>30</v>
      </c>
      <c r="R63" s="129" t="str">
        <f t="shared" si="2"/>
        <v/>
      </c>
      <c r="S63" s="3">
        <v>1</v>
      </c>
      <c r="T63" s="3" t="s">
        <v>30</v>
      </c>
      <c r="U63" s="185" t="s">
        <v>61</v>
      </c>
    </row>
    <row r="64" spans="1:21" ht="18.75" customHeight="1" x14ac:dyDescent="0.35">
      <c r="A64" s="11"/>
      <c r="B64" s="11"/>
      <c r="C64" s="11"/>
      <c r="D64" s="11"/>
      <c r="E64" s="12"/>
      <c r="F64" s="13"/>
      <c r="G64" s="13"/>
      <c r="H64" s="65"/>
      <c r="I64" s="11"/>
      <c r="J64" s="129"/>
      <c r="K64" s="14"/>
      <c r="L64" s="11"/>
      <c r="M64" s="11"/>
      <c r="N64" s="11"/>
      <c r="P64" s="184" t="s">
        <v>30</v>
      </c>
      <c r="Q64" s="184" t="s">
        <v>30</v>
      </c>
      <c r="R64" s="129" t="str">
        <f t="shared" si="2"/>
        <v/>
      </c>
      <c r="S64" s="3">
        <v>1</v>
      </c>
      <c r="T64" s="3" t="s">
        <v>30</v>
      </c>
      <c r="U64" s="185" t="s">
        <v>61</v>
      </c>
    </row>
    <row r="65" spans="1:21" ht="18.75" customHeight="1" x14ac:dyDescent="0.35">
      <c r="A65" s="11"/>
      <c r="B65" s="11"/>
      <c r="C65" s="11"/>
      <c r="D65" s="11"/>
      <c r="E65" s="12"/>
      <c r="F65" s="13"/>
      <c r="G65" s="13"/>
      <c r="H65" s="65"/>
      <c r="I65" s="11"/>
      <c r="J65" s="129"/>
      <c r="K65" s="14"/>
      <c r="L65" s="11"/>
      <c r="M65" s="11"/>
      <c r="N65" s="11"/>
      <c r="P65" s="184" t="s">
        <v>30</v>
      </c>
      <c r="Q65" s="184" t="s">
        <v>30</v>
      </c>
      <c r="R65" s="129" t="str">
        <f t="shared" si="2"/>
        <v/>
      </c>
      <c r="S65" s="3">
        <v>1</v>
      </c>
      <c r="T65" s="3" t="s">
        <v>30</v>
      </c>
      <c r="U65" s="185" t="s">
        <v>61</v>
      </c>
    </row>
    <row r="66" spans="1:21" ht="18.75" customHeight="1" x14ac:dyDescent="0.35">
      <c r="A66" s="11"/>
      <c r="B66" s="11"/>
      <c r="C66" s="11"/>
      <c r="D66" s="11"/>
      <c r="E66" s="12"/>
      <c r="F66" s="13"/>
      <c r="G66" s="13"/>
      <c r="H66" s="65"/>
      <c r="I66" s="11"/>
      <c r="J66" s="129"/>
      <c r="K66" s="14"/>
      <c r="L66" s="11"/>
      <c r="M66" s="11"/>
      <c r="N66" s="11"/>
      <c r="P66" s="184" t="s">
        <v>30</v>
      </c>
      <c r="Q66" s="184" t="s">
        <v>30</v>
      </c>
      <c r="R66" s="129" t="str">
        <f t="shared" si="2"/>
        <v/>
      </c>
      <c r="S66" s="3">
        <f t="shared" si="0"/>
        <v>1</v>
      </c>
      <c r="T66" s="3" t="s">
        <v>30</v>
      </c>
      <c r="U66" s="185" t="str">
        <f t="shared" si="1"/>
        <v>N/A</v>
      </c>
    </row>
    <row r="67" spans="1:21" ht="18.75" customHeight="1" x14ac:dyDescent="0.35">
      <c r="A67" s="11"/>
      <c r="B67" s="11"/>
      <c r="C67" s="11"/>
      <c r="D67" s="11"/>
      <c r="E67" s="12"/>
      <c r="F67" s="13"/>
      <c r="G67" s="13"/>
      <c r="H67" s="65"/>
      <c r="I67" s="11"/>
      <c r="J67" s="129"/>
      <c r="K67" s="14"/>
      <c r="L67" s="11"/>
      <c r="M67" s="11"/>
      <c r="N67" s="11"/>
      <c r="P67" s="184" t="s">
        <v>30</v>
      </c>
      <c r="Q67" s="184" t="s">
        <v>30</v>
      </c>
      <c r="R67" s="129" t="str">
        <f t="shared" si="2"/>
        <v/>
      </c>
      <c r="S67" s="3">
        <f t="shared" si="0"/>
        <v>1</v>
      </c>
      <c r="T67" s="3" t="s">
        <v>30</v>
      </c>
      <c r="U67" s="185" t="str">
        <f t="shared" si="1"/>
        <v>N/A</v>
      </c>
    </row>
    <row r="68" spans="1:21" ht="18.75" customHeight="1" x14ac:dyDescent="0.35">
      <c r="A68" s="11"/>
      <c r="B68" s="11"/>
      <c r="C68" s="11"/>
      <c r="D68" s="11"/>
      <c r="E68" s="12"/>
      <c r="F68" s="13"/>
      <c r="G68" s="13"/>
      <c r="H68" s="65"/>
      <c r="I68" s="11"/>
      <c r="J68" s="129"/>
      <c r="K68" s="14"/>
      <c r="L68" s="11"/>
      <c r="M68" s="11"/>
      <c r="N68" s="11"/>
      <c r="P68" s="184" t="s">
        <v>30</v>
      </c>
      <c r="Q68" s="184" t="s">
        <v>30</v>
      </c>
      <c r="R68" s="129" t="str">
        <f t="shared" si="2"/>
        <v/>
      </c>
      <c r="S68" s="3">
        <f t="shared" si="0"/>
        <v>1</v>
      </c>
      <c r="T68" s="3" t="s">
        <v>30</v>
      </c>
      <c r="U68" s="185" t="str">
        <f t="shared" si="1"/>
        <v>N/A</v>
      </c>
    </row>
    <row r="69" spans="1:21" ht="18.75" customHeight="1" x14ac:dyDescent="0.35">
      <c r="A69" s="11"/>
      <c r="B69" s="11"/>
      <c r="C69" s="11"/>
      <c r="D69" s="11"/>
      <c r="E69" s="12"/>
      <c r="F69" s="13"/>
      <c r="G69" s="13"/>
      <c r="H69" s="65"/>
      <c r="I69" s="11"/>
      <c r="J69" s="129"/>
      <c r="K69" s="14"/>
      <c r="L69" s="11"/>
      <c r="M69" s="11"/>
      <c r="N69" s="11"/>
      <c r="P69" s="184" t="s">
        <v>30</v>
      </c>
      <c r="Q69" s="184" t="s">
        <v>30</v>
      </c>
      <c r="R69" s="129" t="str">
        <f t="shared" si="2"/>
        <v/>
      </c>
      <c r="S69" s="3">
        <f t="shared" si="0"/>
        <v>1</v>
      </c>
      <c r="T69" s="3" t="s">
        <v>30</v>
      </c>
      <c r="U69" s="185" t="str">
        <f t="shared" si="1"/>
        <v>N/A</v>
      </c>
    </row>
    <row r="70" spans="1:21" ht="18.75" customHeight="1" x14ac:dyDescent="0.35">
      <c r="A70" s="11"/>
      <c r="B70" s="11"/>
      <c r="C70" s="11"/>
      <c r="D70" s="11"/>
      <c r="E70" s="12"/>
      <c r="F70" s="13"/>
      <c r="G70" s="13"/>
      <c r="H70" s="65"/>
      <c r="I70" s="11"/>
      <c r="J70" s="129"/>
      <c r="K70" s="14"/>
      <c r="L70" s="11"/>
      <c r="M70" s="11"/>
      <c r="N70" s="11"/>
      <c r="P70" s="184" t="s">
        <v>30</v>
      </c>
      <c r="Q70" s="184" t="s">
        <v>30</v>
      </c>
      <c r="R70" s="129" t="str">
        <f t="shared" si="2"/>
        <v/>
      </c>
      <c r="S70" s="3">
        <f t="shared" si="0"/>
        <v>1</v>
      </c>
      <c r="T70" s="3" t="s">
        <v>30</v>
      </c>
      <c r="U70" s="185" t="str">
        <f t="shared" ref="U70:U112" si="3">IF(C70="Discount",IF(OR(T70=$W$8,T70=$W$10,T70=$W$11,T70=$W$19,T70=$W$20,T70=$W$21,T70=$W$22),$AI$5-F70,$AH$5-F70),IF(C70="Tracker",F70-$AG$5,"N/A"))</f>
        <v>N/A</v>
      </c>
    </row>
    <row r="71" spans="1:21" ht="18.75" customHeight="1" x14ac:dyDescent="0.35">
      <c r="A71" s="11"/>
      <c r="B71" s="11"/>
      <c r="C71" s="11"/>
      <c r="D71" s="11"/>
      <c r="E71" s="12"/>
      <c r="F71" s="13"/>
      <c r="G71" s="13"/>
      <c r="H71" s="65"/>
      <c r="I71" s="11"/>
      <c r="J71" s="129"/>
      <c r="K71" s="14"/>
      <c r="L71" s="11"/>
      <c r="M71" s="11"/>
      <c r="N71" s="11"/>
      <c r="P71" s="184" t="s">
        <v>30</v>
      </c>
      <c r="Q71" s="184" t="s">
        <v>30</v>
      </c>
      <c r="R71" s="129" t="str">
        <f t="shared" si="2"/>
        <v/>
      </c>
      <c r="S71" s="3">
        <f t="shared" si="0"/>
        <v>1</v>
      </c>
      <c r="T71" s="3" t="s">
        <v>30</v>
      </c>
      <c r="U71" s="185" t="str">
        <f t="shared" si="3"/>
        <v>N/A</v>
      </c>
    </row>
    <row r="72" spans="1:21" ht="18.75" customHeight="1" x14ac:dyDescent="0.35">
      <c r="A72" s="11"/>
      <c r="B72" s="11"/>
      <c r="C72" s="11"/>
      <c r="D72" s="11"/>
      <c r="E72" s="12"/>
      <c r="F72" s="13"/>
      <c r="G72" s="13"/>
      <c r="H72" s="65"/>
      <c r="I72" s="11"/>
      <c r="J72" s="129"/>
      <c r="K72" s="14"/>
      <c r="L72" s="11"/>
      <c r="M72" s="11"/>
      <c r="N72" s="11"/>
      <c r="P72" s="184" t="s">
        <v>30</v>
      </c>
      <c r="Q72" s="184" t="s">
        <v>30</v>
      </c>
      <c r="R72" s="129" t="str">
        <f t="shared" ref="R72:R85" si="4">IF(A72="","",A72)</f>
        <v/>
      </c>
      <c r="S72" s="3">
        <f t="shared" si="0"/>
        <v>1</v>
      </c>
      <c r="T72" s="3" t="s">
        <v>30</v>
      </c>
      <c r="U72" s="185" t="str">
        <f t="shared" si="3"/>
        <v>N/A</v>
      </c>
    </row>
    <row r="73" spans="1:21" ht="18.75" customHeight="1" x14ac:dyDescent="0.35">
      <c r="A73" s="11"/>
      <c r="B73" s="11"/>
      <c r="C73" s="11"/>
      <c r="D73" s="11"/>
      <c r="E73" s="12"/>
      <c r="F73" s="13"/>
      <c r="G73" s="13"/>
      <c r="H73" s="65"/>
      <c r="I73" s="11"/>
      <c r="J73" s="129"/>
      <c r="K73" s="14"/>
      <c r="L73" s="11"/>
      <c r="M73" s="11"/>
      <c r="N73" s="11"/>
      <c r="P73" s="184" t="s">
        <v>30</v>
      </c>
      <c r="Q73" s="184" t="s">
        <v>30</v>
      </c>
      <c r="R73" s="129" t="str">
        <f t="shared" si="4"/>
        <v/>
      </c>
      <c r="S73" s="3">
        <f t="shared" si="0"/>
        <v>1</v>
      </c>
      <c r="T73" s="3" t="s">
        <v>30</v>
      </c>
      <c r="U73" s="185" t="str">
        <f t="shared" si="3"/>
        <v>N/A</v>
      </c>
    </row>
    <row r="74" spans="1:21" ht="18.75" customHeight="1" x14ac:dyDescent="0.35">
      <c r="A74" s="11"/>
      <c r="B74" s="11"/>
      <c r="C74" s="11"/>
      <c r="D74" s="11"/>
      <c r="E74" s="12"/>
      <c r="F74" s="13"/>
      <c r="G74" s="13"/>
      <c r="H74" s="65"/>
      <c r="I74" s="11"/>
      <c r="J74" s="129"/>
      <c r="K74" s="14"/>
      <c r="L74" s="11"/>
      <c r="M74" s="11"/>
      <c r="N74" s="11"/>
      <c r="P74" s="184" t="s">
        <v>30</v>
      </c>
      <c r="Q74" s="184" t="s">
        <v>30</v>
      </c>
      <c r="R74" s="129" t="str">
        <f t="shared" si="4"/>
        <v/>
      </c>
      <c r="S74" s="3">
        <f t="shared" si="0"/>
        <v>1</v>
      </c>
      <c r="T74" s="3" t="s">
        <v>30</v>
      </c>
      <c r="U74" s="185" t="str">
        <f t="shared" si="3"/>
        <v>N/A</v>
      </c>
    </row>
    <row r="75" spans="1:21" ht="18.75" customHeight="1" x14ac:dyDescent="0.35">
      <c r="A75" s="11"/>
      <c r="B75" s="11"/>
      <c r="C75" s="11"/>
      <c r="D75" s="11"/>
      <c r="E75" s="12"/>
      <c r="F75" s="13"/>
      <c r="G75" s="13"/>
      <c r="H75" s="65"/>
      <c r="I75" s="11"/>
      <c r="J75" s="129"/>
      <c r="K75" s="14"/>
      <c r="L75" s="11"/>
      <c r="M75" s="11"/>
      <c r="N75" s="11"/>
      <c r="P75" s="184" t="s">
        <v>30</v>
      </c>
      <c r="Q75" s="184" t="s">
        <v>30</v>
      </c>
      <c r="R75" s="129" t="str">
        <f t="shared" si="4"/>
        <v/>
      </c>
      <c r="S75" s="3">
        <f t="shared" si="0"/>
        <v>1</v>
      </c>
      <c r="T75" s="3" t="s">
        <v>30</v>
      </c>
      <c r="U75" s="185" t="str">
        <f t="shared" si="3"/>
        <v>N/A</v>
      </c>
    </row>
    <row r="76" spans="1:21" ht="18.75" customHeight="1" x14ac:dyDescent="0.35">
      <c r="A76" s="11"/>
      <c r="B76" s="11"/>
      <c r="C76" s="11"/>
      <c r="D76" s="11"/>
      <c r="E76" s="12"/>
      <c r="F76" s="13"/>
      <c r="G76" s="13"/>
      <c r="H76" s="65"/>
      <c r="I76" s="11"/>
      <c r="J76" s="129"/>
      <c r="K76" s="14"/>
      <c r="L76" s="11"/>
      <c r="M76" s="11"/>
      <c r="N76" s="11"/>
      <c r="P76" s="184" t="s">
        <v>30</v>
      </c>
      <c r="Q76" s="184" t="s">
        <v>30</v>
      </c>
      <c r="R76" s="129" t="str">
        <f t="shared" si="4"/>
        <v/>
      </c>
      <c r="S76" s="3">
        <f t="shared" si="0"/>
        <v>1</v>
      </c>
      <c r="T76" s="3" t="s">
        <v>30</v>
      </c>
      <c r="U76" s="185" t="str">
        <f t="shared" si="3"/>
        <v>N/A</v>
      </c>
    </row>
    <row r="77" spans="1:21" ht="18.75" customHeight="1" x14ac:dyDescent="0.35">
      <c r="A77" s="11"/>
      <c r="B77" s="11"/>
      <c r="C77" s="11"/>
      <c r="D77" s="11"/>
      <c r="E77" s="12"/>
      <c r="F77" s="13"/>
      <c r="G77" s="13"/>
      <c r="H77" s="65"/>
      <c r="I77" s="11"/>
      <c r="J77" s="129"/>
      <c r="K77" s="14"/>
      <c r="L77" s="11"/>
      <c r="M77" s="11"/>
      <c r="N77" s="11"/>
      <c r="P77" s="184" t="s">
        <v>30</v>
      </c>
      <c r="Q77" s="184" t="s">
        <v>30</v>
      </c>
      <c r="R77" s="129" t="str">
        <f t="shared" si="4"/>
        <v/>
      </c>
      <c r="S77" s="3">
        <f t="shared" si="0"/>
        <v>1</v>
      </c>
      <c r="T77" s="3" t="s">
        <v>30</v>
      </c>
      <c r="U77" s="185" t="str">
        <f t="shared" si="3"/>
        <v>N/A</v>
      </c>
    </row>
    <row r="78" spans="1:21" ht="18.75" customHeight="1" x14ac:dyDescent="0.35">
      <c r="A78" s="11"/>
      <c r="B78" s="11"/>
      <c r="C78" s="11"/>
      <c r="D78" s="11"/>
      <c r="E78" s="12"/>
      <c r="F78" s="13"/>
      <c r="G78" s="13"/>
      <c r="H78" s="65"/>
      <c r="I78" s="11"/>
      <c r="J78" s="129"/>
      <c r="K78" s="14"/>
      <c r="L78" s="11"/>
      <c r="M78" s="11"/>
      <c r="N78" s="11"/>
      <c r="P78" s="184" t="s">
        <v>30</v>
      </c>
      <c r="Q78" s="184" t="s">
        <v>30</v>
      </c>
      <c r="R78" s="129" t="str">
        <f t="shared" si="4"/>
        <v/>
      </c>
      <c r="S78" s="3">
        <f t="shared" si="0"/>
        <v>1</v>
      </c>
      <c r="T78" s="3" t="s">
        <v>30</v>
      </c>
      <c r="U78" s="185" t="str">
        <f t="shared" si="3"/>
        <v>N/A</v>
      </c>
    </row>
    <row r="79" spans="1:21" ht="18.75" customHeight="1" x14ac:dyDescent="0.35">
      <c r="A79" s="11"/>
      <c r="B79" s="11"/>
      <c r="C79" s="11"/>
      <c r="D79" s="11"/>
      <c r="E79" s="12"/>
      <c r="F79" s="13"/>
      <c r="G79" s="13"/>
      <c r="H79" s="65"/>
      <c r="I79" s="11"/>
      <c r="J79" s="129"/>
      <c r="K79" s="14"/>
      <c r="L79" s="11"/>
      <c r="M79" s="11"/>
      <c r="N79" s="11"/>
      <c r="P79" s="184" t="s">
        <v>30</v>
      </c>
      <c r="Q79" s="184" t="s">
        <v>30</v>
      </c>
      <c r="R79" s="129" t="str">
        <f t="shared" si="4"/>
        <v/>
      </c>
      <c r="S79" s="3">
        <f t="shared" si="0"/>
        <v>1</v>
      </c>
      <c r="T79" s="3" t="s">
        <v>30</v>
      </c>
      <c r="U79" s="185" t="str">
        <f t="shared" si="3"/>
        <v>N/A</v>
      </c>
    </row>
    <row r="80" spans="1:21" ht="18.75" customHeight="1" x14ac:dyDescent="0.35">
      <c r="A80" s="11"/>
      <c r="B80" s="11"/>
      <c r="C80" s="11"/>
      <c r="D80" s="11"/>
      <c r="E80" s="12"/>
      <c r="F80" s="13"/>
      <c r="G80" s="13"/>
      <c r="H80" s="65"/>
      <c r="I80" s="11"/>
      <c r="J80" s="129"/>
      <c r="K80" s="14"/>
      <c r="L80" s="11"/>
      <c r="M80" s="11"/>
      <c r="N80" s="11"/>
      <c r="P80" s="184" t="s">
        <v>30</v>
      </c>
      <c r="Q80" s="184" t="s">
        <v>30</v>
      </c>
      <c r="R80" s="129" t="str">
        <f t="shared" si="4"/>
        <v/>
      </c>
      <c r="S80" s="3">
        <f t="shared" si="0"/>
        <v>1</v>
      </c>
      <c r="T80" s="3" t="s">
        <v>30</v>
      </c>
      <c r="U80" s="185" t="str">
        <f t="shared" si="3"/>
        <v>N/A</v>
      </c>
    </row>
    <row r="81" spans="1:21" ht="18.75" customHeight="1" x14ac:dyDescent="0.35">
      <c r="A81" s="11"/>
      <c r="B81" s="11"/>
      <c r="C81" s="11"/>
      <c r="D81" s="11"/>
      <c r="E81" s="12"/>
      <c r="F81" s="13"/>
      <c r="G81" s="13"/>
      <c r="H81" s="65"/>
      <c r="I81" s="11"/>
      <c r="J81" s="129"/>
      <c r="K81" s="14"/>
      <c r="L81" s="11"/>
      <c r="M81" s="11"/>
      <c r="N81" s="11"/>
      <c r="P81" s="184" t="s">
        <v>30</v>
      </c>
      <c r="Q81" s="184" t="s">
        <v>30</v>
      </c>
      <c r="R81" s="129" t="str">
        <f t="shared" si="4"/>
        <v/>
      </c>
      <c r="S81" s="3">
        <f t="shared" si="0"/>
        <v>1</v>
      </c>
      <c r="T81" s="3" t="s">
        <v>30</v>
      </c>
      <c r="U81" s="185" t="str">
        <f t="shared" si="3"/>
        <v>N/A</v>
      </c>
    </row>
    <row r="82" spans="1:21" ht="18.75" customHeight="1" x14ac:dyDescent="0.35">
      <c r="A82" s="11"/>
      <c r="B82" s="11"/>
      <c r="C82" s="11"/>
      <c r="D82" s="11"/>
      <c r="E82" s="12"/>
      <c r="F82" s="13"/>
      <c r="G82" s="13"/>
      <c r="H82" s="65"/>
      <c r="I82" s="11"/>
      <c r="J82" s="129"/>
      <c r="K82" s="14"/>
      <c r="L82" s="11"/>
      <c r="M82" s="11"/>
      <c r="N82" s="11"/>
      <c r="P82" s="184" t="s">
        <v>30</v>
      </c>
      <c r="Q82" s="184" t="s">
        <v>30</v>
      </c>
      <c r="R82" s="129" t="str">
        <f t="shared" si="4"/>
        <v/>
      </c>
      <c r="S82" s="3">
        <f t="shared" si="0"/>
        <v>1</v>
      </c>
      <c r="T82" s="3" t="s">
        <v>30</v>
      </c>
      <c r="U82" s="185" t="str">
        <f t="shared" si="3"/>
        <v>N/A</v>
      </c>
    </row>
    <row r="83" spans="1:21" ht="18.75" customHeight="1" x14ac:dyDescent="0.35">
      <c r="A83" s="11"/>
      <c r="B83" s="11"/>
      <c r="C83" s="11"/>
      <c r="D83" s="11"/>
      <c r="E83" s="12"/>
      <c r="F83" s="13"/>
      <c r="G83" s="13"/>
      <c r="H83" s="65"/>
      <c r="I83" s="11"/>
      <c r="J83" s="129"/>
      <c r="K83" s="14"/>
      <c r="L83" s="11"/>
      <c r="M83" s="11"/>
      <c r="N83" s="11"/>
      <c r="P83" s="184" t="s">
        <v>30</v>
      </c>
      <c r="Q83" s="184" t="s">
        <v>30</v>
      </c>
      <c r="R83" s="129" t="str">
        <f t="shared" si="4"/>
        <v/>
      </c>
      <c r="S83" s="3">
        <f t="shared" si="0"/>
        <v>1</v>
      </c>
      <c r="T83" s="3" t="s">
        <v>30</v>
      </c>
      <c r="U83" s="185" t="str">
        <f t="shared" si="3"/>
        <v>N/A</v>
      </c>
    </row>
    <row r="84" spans="1:21" ht="18.75" customHeight="1" x14ac:dyDescent="0.35">
      <c r="A84" s="11"/>
      <c r="B84" s="11"/>
      <c r="C84" s="11"/>
      <c r="D84" s="11"/>
      <c r="E84" s="12"/>
      <c r="F84" s="13"/>
      <c r="G84" s="13"/>
      <c r="H84" s="65"/>
      <c r="I84" s="11"/>
      <c r="J84" s="129"/>
      <c r="K84" s="14"/>
      <c r="L84" s="11"/>
      <c r="M84" s="11"/>
      <c r="N84" s="11"/>
      <c r="P84" s="184" t="s">
        <v>30</v>
      </c>
      <c r="Q84" s="184" t="s">
        <v>30</v>
      </c>
      <c r="R84" s="129" t="str">
        <f t="shared" si="4"/>
        <v/>
      </c>
      <c r="S84" s="3">
        <f t="shared" si="0"/>
        <v>1</v>
      </c>
      <c r="T84" s="3" t="s">
        <v>30</v>
      </c>
      <c r="U84" s="185" t="str">
        <f t="shared" si="3"/>
        <v>N/A</v>
      </c>
    </row>
    <row r="85" spans="1:21" ht="18.75" customHeight="1" x14ac:dyDescent="0.35">
      <c r="A85" s="11"/>
      <c r="B85" s="11"/>
      <c r="C85" s="11"/>
      <c r="D85" s="11"/>
      <c r="E85" s="12"/>
      <c r="F85" s="13"/>
      <c r="G85" s="13"/>
      <c r="H85" s="65"/>
      <c r="I85" s="11"/>
      <c r="J85" s="129"/>
      <c r="K85" s="14"/>
      <c r="L85" s="11"/>
      <c r="M85" s="11"/>
      <c r="N85" s="11"/>
      <c r="P85" s="184" t="s">
        <v>30</v>
      </c>
      <c r="Q85" s="184" t="s">
        <v>30</v>
      </c>
      <c r="R85" s="129" t="str">
        <f t="shared" si="4"/>
        <v/>
      </c>
      <c r="S85" s="3">
        <f t="shared" si="0"/>
        <v>1</v>
      </c>
      <c r="T85" s="62" t="s">
        <v>30</v>
      </c>
      <c r="U85" s="185" t="str">
        <f t="shared" si="3"/>
        <v>N/A</v>
      </c>
    </row>
    <row r="86" spans="1:21" ht="18.75" customHeight="1" x14ac:dyDescent="0.35">
      <c r="A86" s="246" t="s">
        <v>27</v>
      </c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8"/>
      <c r="P86" t="s">
        <v>141</v>
      </c>
      <c r="Q86" s="184" t="s">
        <v>30</v>
      </c>
      <c r="S86" s="3">
        <f t="shared" ref="S86:S127" si="5">IF(OR($C$2="",$C$2="Residential"),1,0)</f>
        <v>1</v>
      </c>
      <c r="T86" s="3" t="s">
        <v>31</v>
      </c>
      <c r="U86" s="185" t="str">
        <f t="shared" si="3"/>
        <v>N/A</v>
      </c>
    </row>
    <row r="87" spans="1:21" ht="18.75" customHeight="1" x14ac:dyDescent="0.35">
      <c r="A87" s="11">
        <v>54272</v>
      </c>
      <c r="B87" s="11">
        <v>2</v>
      </c>
      <c r="C87" s="11" t="s">
        <v>56</v>
      </c>
      <c r="D87" s="11" t="s">
        <v>95</v>
      </c>
      <c r="E87" s="12">
        <v>0.65</v>
      </c>
      <c r="F87" s="13">
        <v>5.8400000000000001E-2</v>
      </c>
      <c r="G87" s="131">
        <v>7.9617921999999994E-2</v>
      </c>
      <c r="H87" s="14">
        <v>0</v>
      </c>
      <c r="I87" s="11" t="s">
        <v>53</v>
      </c>
      <c r="J87" s="129" t="s">
        <v>52</v>
      </c>
      <c r="K87" s="14">
        <v>0</v>
      </c>
      <c r="L87" s="11" t="s">
        <v>52</v>
      </c>
      <c r="M87" s="15" t="s">
        <v>283</v>
      </c>
      <c r="N87" s="15" t="s">
        <v>53</v>
      </c>
      <c r="P87" t="s">
        <v>141</v>
      </c>
      <c r="Q87" s="184" t="s">
        <v>30</v>
      </c>
      <c r="R87" s="129">
        <f t="shared" ref="R87:R135" si="6">IF(A87="","",A87)</f>
        <v>54272</v>
      </c>
      <c r="S87" s="3">
        <f t="shared" si="5"/>
        <v>1</v>
      </c>
      <c r="T87" s="3" t="s">
        <v>31</v>
      </c>
      <c r="U87" s="185" t="str">
        <f t="shared" si="3"/>
        <v>N/A</v>
      </c>
    </row>
    <row r="88" spans="1:21" ht="18.75" customHeight="1" x14ac:dyDescent="0.35">
      <c r="A88" s="11">
        <v>54275</v>
      </c>
      <c r="B88" s="11">
        <v>2</v>
      </c>
      <c r="C88" s="11" t="s">
        <v>56</v>
      </c>
      <c r="D88" s="11" t="s">
        <v>95</v>
      </c>
      <c r="E88" s="12">
        <v>0.85</v>
      </c>
      <c r="F88" s="13">
        <v>6.0400000000000002E-2</v>
      </c>
      <c r="G88" s="131">
        <v>7.8550264999999994E-2</v>
      </c>
      <c r="H88" s="14">
        <v>0</v>
      </c>
      <c r="I88" s="11" t="s">
        <v>53</v>
      </c>
      <c r="J88" s="129" t="s">
        <v>52</v>
      </c>
      <c r="K88" s="14">
        <v>0</v>
      </c>
      <c r="L88" s="11" t="s">
        <v>52</v>
      </c>
      <c r="M88" s="15" t="s">
        <v>283</v>
      </c>
      <c r="N88" s="15" t="s">
        <v>53</v>
      </c>
      <c r="P88" t="s">
        <v>141</v>
      </c>
      <c r="Q88" s="184" t="s">
        <v>30</v>
      </c>
      <c r="R88" s="129">
        <f t="shared" si="6"/>
        <v>54275</v>
      </c>
      <c r="S88" s="3">
        <f t="shared" si="5"/>
        <v>1</v>
      </c>
      <c r="T88" s="3" t="s">
        <v>31</v>
      </c>
      <c r="U88" s="185" t="str">
        <f t="shared" si="3"/>
        <v>N/A</v>
      </c>
    </row>
    <row r="89" spans="1:21" ht="18.75" customHeight="1" x14ac:dyDescent="0.35">
      <c r="A89" s="11">
        <v>54274</v>
      </c>
      <c r="B89" s="11">
        <v>2</v>
      </c>
      <c r="C89" s="11" t="s">
        <v>56</v>
      </c>
      <c r="D89" s="11" t="s">
        <v>95</v>
      </c>
      <c r="E89" s="12">
        <v>1.25</v>
      </c>
      <c r="F89" s="13">
        <v>7.1400000000000005E-2</v>
      </c>
      <c r="G89" s="131">
        <v>8.0959539999999997E-2</v>
      </c>
      <c r="H89" s="14">
        <v>0</v>
      </c>
      <c r="I89" s="11" t="s">
        <v>53</v>
      </c>
      <c r="J89" s="129" t="s">
        <v>52</v>
      </c>
      <c r="K89" s="14">
        <v>0</v>
      </c>
      <c r="L89" s="11" t="s">
        <v>52</v>
      </c>
      <c r="M89" s="15" t="s">
        <v>283</v>
      </c>
      <c r="N89" s="15" t="s">
        <v>53</v>
      </c>
      <c r="P89" t="s">
        <v>141</v>
      </c>
      <c r="Q89" s="184" t="s">
        <v>30</v>
      </c>
      <c r="R89" s="129">
        <f t="shared" si="6"/>
        <v>54274</v>
      </c>
      <c r="S89" s="3">
        <f t="shared" si="5"/>
        <v>1</v>
      </c>
      <c r="T89" s="3" t="s">
        <v>31</v>
      </c>
      <c r="U89" s="185" t="str">
        <f t="shared" si="3"/>
        <v>N/A</v>
      </c>
    </row>
    <row r="90" spans="1:21" ht="18.75" customHeight="1" x14ac:dyDescent="0.35">
      <c r="A90" s="11">
        <v>54273</v>
      </c>
      <c r="B90" s="11">
        <v>5</v>
      </c>
      <c r="C90" s="11" t="s">
        <v>56</v>
      </c>
      <c r="D90" s="11" t="s">
        <v>95</v>
      </c>
      <c r="E90" s="12">
        <v>0.65</v>
      </c>
      <c r="F90" s="13">
        <v>5.3900000000000003E-2</v>
      </c>
      <c r="G90" s="131">
        <v>7.4516313000000001E-2</v>
      </c>
      <c r="H90" s="14">
        <v>0</v>
      </c>
      <c r="I90" s="11" t="s">
        <v>53</v>
      </c>
      <c r="J90" s="129" t="s">
        <v>52</v>
      </c>
      <c r="K90" s="14">
        <v>0</v>
      </c>
      <c r="L90" s="11" t="s">
        <v>52</v>
      </c>
      <c r="M90" s="15" t="s">
        <v>284</v>
      </c>
      <c r="N90" s="15" t="s">
        <v>53</v>
      </c>
      <c r="P90" t="s">
        <v>141</v>
      </c>
      <c r="Q90" s="184" t="s">
        <v>30</v>
      </c>
      <c r="R90" s="129">
        <f t="shared" si="6"/>
        <v>54273</v>
      </c>
      <c r="S90" s="3">
        <f t="shared" si="5"/>
        <v>1</v>
      </c>
      <c r="T90" s="3" t="s">
        <v>31</v>
      </c>
      <c r="U90" s="185" t="str">
        <f t="shared" si="3"/>
        <v>N/A</v>
      </c>
    </row>
    <row r="91" spans="1:21" ht="18.75" customHeight="1" x14ac:dyDescent="0.35">
      <c r="A91" s="11">
        <v>54276</v>
      </c>
      <c r="B91" s="11">
        <v>5</v>
      </c>
      <c r="C91" s="11" t="s">
        <v>56</v>
      </c>
      <c r="D91" s="11" t="s">
        <v>95</v>
      </c>
      <c r="E91" s="12">
        <v>0.85</v>
      </c>
      <c r="F91" s="13">
        <v>5.5899999999999998E-2</v>
      </c>
      <c r="G91" s="131">
        <v>7.2767939000000004E-2</v>
      </c>
      <c r="H91" s="14">
        <v>0</v>
      </c>
      <c r="I91" s="11" t="s">
        <v>53</v>
      </c>
      <c r="J91" s="129" t="s">
        <v>52</v>
      </c>
      <c r="K91" s="14">
        <v>0</v>
      </c>
      <c r="L91" s="11" t="s">
        <v>52</v>
      </c>
      <c r="M91" s="15" t="s">
        <v>284</v>
      </c>
      <c r="N91" s="15" t="s">
        <v>53</v>
      </c>
      <c r="P91" t="s">
        <v>141</v>
      </c>
      <c r="Q91" s="184" t="s">
        <v>30</v>
      </c>
      <c r="R91" s="129">
        <f t="shared" si="6"/>
        <v>54276</v>
      </c>
      <c r="S91" s="3">
        <f t="shared" si="5"/>
        <v>1</v>
      </c>
      <c r="T91" s="3" t="s">
        <v>31</v>
      </c>
      <c r="U91" s="185" t="str">
        <f t="shared" si="3"/>
        <v>N/A</v>
      </c>
    </row>
    <row r="92" spans="1:21" ht="18.75" customHeight="1" x14ac:dyDescent="0.35">
      <c r="A92" s="11"/>
      <c r="B92" s="11"/>
      <c r="C92" s="11"/>
      <c r="D92" s="11"/>
      <c r="E92" s="12"/>
      <c r="F92" s="13"/>
      <c r="G92" s="131"/>
      <c r="H92" s="14"/>
      <c r="I92" s="11"/>
      <c r="J92" s="129"/>
      <c r="K92" s="14"/>
      <c r="L92" s="11"/>
      <c r="M92" s="15"/>
      <c r="N92" s="15"/>
      <c r="P92" t="s">
        <v>141</v>
      </c>
      <c r="Q92" s="184" t="s">
        <v>30</v>
      </c>
      <c r="R92" s="129" t="str">
        <f t="shared" si="6"/>
        <v/>
      </c>
      <c r="S92" s="3">
        <f t="shared" si="5"/>
        <v>1</v>
      </c>
      <c r="T92" s="3" t="s">
        <v>31</v>
      </c>
      <c r="U92" s="185" t="str">
        <f t="shared" si="3"/>
        <v>N/A</v>
      </c>
    </row>
    <row r="93" spans="1:21" ht="18.75" customHeight="1" x14ac:dyDescent="0.35">
      <c r="A93" s="11"/>
      <c r="B93" s="11"/>
      <c r="C93" s="11"/>
      <c r="D93" s="11"/>
      <c r="E93" s="12"/>
      <c r="F93" s="13"/>
      <c r="G93" s="131"/>
      <c r="H93" s="14"/>
      <c r="I93" s="11"/>
      <c r="J93" s="129"/>
      <c r="K93" s="14"/>
      <c r="L93" s="11"/>
      <c r="M93" s="15"/>
      <c r="N93" s="15"/>
      <c r="P93" t="s">
        <v>141</v>
      </c>
      <c r="Q93" s="184" t="s">
        <v>30</v>
      </c>
      <c r="R93" s="129" t="str">
        <f t="shared" si="6"/>
        <v/>
      </c>
      <c r="S93" s="3">
        <f t="shared" si="5"/>
        <v>1</v>
      </c>
      <c r="T93" s="3" t="s">
        <v>31</v>
      </c>
      <c r="U93" s="185" t="str">
        <f t="shared" si="3"/>
        <v>N/A</v>
      </c>
    </row>
    <row r="94" spans="1:21" ht="18.75" customHeight="1" x14ac:dyDescent="0.35">
      <c r="A94" s="11"/>
      <c r="B94" s="11"/>
      <c r="C94" s="11"/>
      <c r="D94" s="11"/>
      <c r="E94" s="12"/>
      <c r="F94" s="13"/>
      <c r="G94" s="13"/>
      <c r="H94" s="14"/>
      <c r="I94" s="11"/>
      <c r="J94" s="129"/>
      <c r="K94" s="14"/>
      <c r="L94" s="11"/>
      <c r="M94" s="15"/>
      <c r="N94" s="15"/>
      <c r="P94" t="s">
        <v>141</v>
      </c>
      <c r="Q94" s="184" t="s">
        <v>30</v>
      </c>
      <c r="R94" s="129" t="str">
        <f t="shared" si="6"/>
        <v/>
      </c>
      <c r="S94" s="3">
        <f t="shared" si="5"/>
        <v>1</v>
      </c>
      <c r="T94" s="3" t="s">
        <v>31</v>
      </c>
      <c r="U94" s="185" t="str">
        <f t="shared" si="3"/>
        <v>N/A</v>
      </c>
    </row>
    <row r="95" spans="1:21" ht="18.75" customHeight="1" x14ac:dyDescent="0.35">
      <c r="A95" s="11"/>
      <c r="B95" s="11"/>
      <c r="C95" s="11"/>
      <c r="D95" s="11"/>
      <c r="E95" s="12"/>
      <c r="F95" s="13"/>
      <c r="G95" s="13"/>
      <c r="H95" s="14"/>
      <c r="I95" s="11"/>
      <c r="J95" s="129"/>
      <c r="K95" s="14"/>
      <c r="L95" s="11"/>
      <c r="M95" s="15"/>
      <c r="N95" s="15"/>
      <c r="P95" t="s">
        <v>141</v>
      </c>
      <c r="Q95" s="184" t="s">
        <v>30</v>
      </c>
      <c r="R95" s="129" t="str">
        <f t="shared" si="6"/>
        <v/>
      </c>
      <c r="S95" s="3">
        <f t="shared" si="5"/>
        <v>1</v>
      </c>
      <c r="T95" s="3" t="s">
        <v>31</v>
      </c>
      <c r="U95" s="185" t="str">
        <f t="shared" si="3"/>
        <v>N/A</v>
      </c>
    </row>
    <row r="96" spans="1:21" ht="18.75" customHeight="1" x14ac:dyDescent="0.35">
      <c r="A96" s="11"/>
      <c r="B96" s="11"/>
      <c r="C96" s="11"/>
      <c r="D96" s="11"/>
      <c r="E96" s="12"/>
      <c r="F96" s="13"/>
      <c r="G96" s="13"/>
      <c r="H96" s="14"/>
      <c r="I96" s="11"/>
      <c r="J96" s="129"/>
      <c r="K96" s="14"/>
      <c r="L96" s="11"/>
      <c r="M96" s="15"/>
      <c r="N96" s="15"/>
      <c r="P96" t="s">
        <v>141</v>
      </c>
      <c r="Q96" s="184" t="s">
        <v>30</v>
      </c>
      <c r="R96" s="129" t="str">
        <f t="shared" si="6"/>
        <v/>
      </c>
      <c r="S96" s="3">
        <f t="shared" si="5"/>
        <v>1</v>
      </c>
      <c r="T96" s="3" t="s">
        <v>31</v>
      </c>
      <c r="U96" s="185" t="str">
        <f t="shared" si="3"/>
        <v>N/A</v>
      </c>
    </row>
    <row r="97" spans="1:21" ht="18.75" customHeight="1" x14ac:dyDescent="0.35">
      <c r="A97" s="11"/>
      <c r="B97" s="11"/>
      <c r="C97" s="11"/>
      <c r="D97" s="11"/>
      <c r="E97" s="12"/>
      <c r="F97" s="13"/>
      <c r="G97" s="13"/>
      <c r="H97" s="14"/>
      <c r="I97" s="11"/>
      <c r="J97" s="129"/>
      <c r="K97" s="14"/>
      <c r="L97" s="11"/>
      <c r="M97" s="15"/>
      <c r="N97" s="15"/>
      <c r="P97" t="s">
        <v>141</v>
      </c>
      <c r="Q97" s="184" t="s">
        <v>30</v>
      </c>
      <c r="R97" s="129" t="str">
        <f t="shared" si="6"/>
        <v/>
      </c>
      <c r="S97" s="3">
        <f>IF(OR($C$2="",$C$2="Residential"),1,0)</f>
        <v>1</v>
      </c>
      <c r="T97" s="3" t="s">
        <v>31</v>
      </c>
      <c r="U97" s="185" t="str">
        <f t="shared" si="3"/>
        <v>N/A</v>
      </c>
    </row>
    <row r="98" spans="1:21" ht="18.75" customHeight="1" x14ac:dyDescent="0.35">
      <c r="A98" s="11"/>
      <c r="B98" s="11"/>
      <c r="C98" s="11"/>
      <c r="D98" s="11"/>
      <c r="E98" s="12"/>
      <c r="F98" s="13"/>
      <c r="G98" s="13"/>
      <c r="H98" s="14"/>
      <c r="I98" s="11"/>
      <c r="J98" s="129"/>
      <c r="K98" s="14"/>
      <c r="L98" s="11"/>
      <c r="M98" s="15"/>
      <c r="N98" s="15"/>
      <c r="P98" t="s">
        <v>141</v>
      </c>
      <c r="Q98" s="184" t="s">
        <v>30</v>
      </c>
      <c r="R98" s="129" t="str">
        <f t="shared" si="6"/>
        <v/>
      </c>
      <c r="S98" s="3">
        <f t="shared" si="5"/>
        <v>1</v>
      </c>
      <c r="T98" s="3" t="s">
        <v>31</v>
      </c>
      <c r="U98" s="185" t="str">
        <f t="shared" si="3"/>
        <v>N/A</v>
      </c>
    </row>
    <row r="99" spans="1:21" ht="18.75" customHeight="1" x14ac:dyDescent="0.35">
      <c r="A99" s="11"/>
      <c r="B99" s="11"/>
      <c r="C99" s="11"/>
      <c r="D99" s="11"/>
      <c r="E99" s="12"/>
      <c r="F99" s="13"/>
      <c r="G99" s="13"/>
      <c r="H99" s="14"/>
      <c r="I99" s="11"/>
      <c r="J99" s="129"/>
      <c r="K99" s="14"/>
      <c r="L99" s="11"/>
      <c r="M99" s="15"/>
      <c r="N99" s="15"/>
      <c r="P99" t="s">
        <v>141</v>
      </c>
      <c r="Q99" s="184" t="s">
        <v>30</v>
      </c>
      <c r="R99" s="129" t="str">
        <f t="shared" si="6"/>
        <v/>
      </c>
      <c r="S99" s="3">
        <f t="shared" si="5"/>
        <v>1</v>
      </c>
      <c r="T99" s="3" t="s">
        <v>31</v>
      </c>
      <c r="U99" s="185" t="str">
        <f t="shared" si="3"/>
        <v>N/A</v>
      </c>
    </row>
    <row r="100" spans="1:21" ht="18.75" customHeight="1" x14ac:dyDescent="0.35">
      <c r="A100" s="11"/>
      <c r="B100" s="11"/>
      <c r="C100" s="11"/>
      <c r="D100" s="11"/>
      <c r="E100" s="12"/>
      <c r="F100" s="13"/>
      <c r="G100" s="13"/>
      <c r="H100" s="14"/>
      <c r="I100" s="11"/>
      <c r="J100" s="129"/>
      <c r="K100" s="14"/>
      <c r="L100" s="11"/>
      <c r="M100" s="15"/>
      <c r="N100" s="15"/>
      <c r="P100" t="s">
        <v>141</v>
      </c>
      <c r="Q100" s="184" t="s">
        <v>30</v>
      </c>
      <c r="R100" s="129" t="str">
        <f t="shared" si="6"/>
        <v/>
      </c>
      <c r="S100" s="3">
        <f t="shared" si="5"/>
        <v>1</v>
      </c>
      <c r="T100" s="3" t="s">
        <v>31</v>
      </c>
      <c r="U100" s="185" t="str">
        <f t="shared" si="3"/>
        <v>N/A</v>
      </c>
    </row>
    <row r="101" spans="1:21" ht="18.75" customHeight="1" x14ac:dyDescent="0.35">
      <c r="A101" s="11"/>
      <c r="B101" s="11"/>
      <c r="C101" s="11"/>
      <c r="D101" s="11"/>
      <c r="E101" s="12"/>
      <c r="F101" s="13"/>
      <c r="G101" s="13"/>
      <c r="H101" s="14"/>
      <c r="I101" s="11"/>
      <c r="J101" s="129"/>
      <c r="K101" s="14"/>
      <c r="L101" s="11"/>
      <c r="M101" s="15"/>
      <c r="N101" s="15"/>
      <c r="P101" t="s">
        <v>141</v>
      </c>
      <c r="Q101" s="184" t="s">
        <v>30</v>
      </c>
      <c r="R101" s="129" t="str">
        <f t="shared" si="6"/>
        <v/>
      </c>
      <c r="S101" s="3">
        <f t="shared" si="5"/>
        <v>1</v>
      </c>
      <c r="T101" s="3" t="s">
        <v>31</v>
      </c>
      <c r="U101" s="185" t="str">
        <f t="shared" si="3"/>
        <v>N/A</v>
      </c>
    </row>
    <row r="102" spans="1:21" ht="18.75" customHeight="1" x14ac:dyDescent="0.35">
      <c r="A102" s="11"/>
      <c r="B102" s="11"/>
      <c r="C102" s="11"/>
      <c r="D102" s="11"/>
      <c r="E102" s="12"/>
      <c r="F102" s="13"/>
      <c r="G102" s="13"/>
      <c r="H102" s="14"/>
      <c r="I102" s="11"/>
      <c r="J102" s="129"/>
      <c r="K102" s="14"/>
      <c r="L102" s="11"/>
      <c r="M102" s="15"/>
      <c r="N102" s="15"/>
      <c r="P102" t="s">
        <v>141</v>
      </c>
      <c r="Q102" s="184" t="s">
        <v>30</v>
      </c>
      <c r="R102" s="129" t="str">
        <f t="shared" si="6"/>
        <v/>
      </c>
      <c r="S102" s="3">
        <f t="shared" si="5"/>
        <v>1</v>
      </c>
      <c r="T102" s="3" t="s">
        <v>31</v>
      </c>
      <c r="U102" s="185" t="str">
        <f t="shared" si="3"/>
        <v>N/A</v>
      </c>
    </row>
    <row r="103" spans="1:21" ht="18.75" customHeight="1" x14ac:dyDescent="0.35">
      <c r="A103" s="11"/>
      <c r="B103" s="11"/>
      <c r="C103" s="11"/>
      <c r="D103" s="11"/>
      <c r="E103" s="12"/>
      <c r="F103" s="13"/>
      <c r="G103" s="13"/>
      <c r="H103" s="14"/>
      <c r="I103" s="11"/>
      <c r="J103" s="129"/>
      <c r="K103" s="14"/>
      <c r="L103" s="11"/>
      <c r="M103" s="15"/>
      <c r="N103" s="15"/>
      <c r="P103" t="s">
        <v>141</v>
      </c>
      <c r="Q103" s="184" t="s">
        <v>30</v>
      </c>
      <c r="R103" s="129" t="str">
        <f t="shared" si="6"/>
        <v/>
      </c>
      <c r="S103" s="3">
        <f t="shared" si="5"/>
        <v>1</v>
      </c>
      <c r="T103" s="3" t="s">
        <v>31</v>
      </c>
      <c r="U103" s="185" t="str">
        <f t="shared" si="3"/>
        <v>N/A</v>
      </c>
    </row>
    <row r="104" spans="1:21" ht="18.75" customHeight="1" x14ac:dyDescent="0.35">
      <c r="A104" s="11"/>
      <c r="B104" s="11"/>
      <c r="C104" s="11"/>
      <c r="D104" s="11"/>
      <c r="E104" s="12"/>
      <c r="F104" s="13"/>
      <c r="G104" s="13"/>
      <c r="H104" s="14"/>
      <c r="I104" s="11"/>
      <c r="J104" s="129"/>
      <c r="K104" s="14"/>
      <c r="L104" s="11"/>
      <c r="M104" s="15"/>
      <c r="N104" s="15"/>
      <c r="P104" t="s">
        <v>141</v>
      </c>
      <c r="Q104" s="184" t="s">
        <v>30</v>
      </c>
      <c r="R104" s="129" t="str">
        <f t="shared" si="6"/>
        <v/>
      </c>
      <c r="S104" s="3">
        <f t="shared" si="5"/>
        <v>1</v>
      </c>
      <c r="T104" s="3" t="s">
        <v>31</v>
      </c>
      <c r="U104" s="185" t="str">
        <f t="shared" si="3"/>
        <v>N/A</v>
      </c>
    </row>
    <row r="105" spans="1:21" ht="18.75" customHeight="1" x14ac:dyDescent="0.35">
      <c r="A105" s="11"/>
      <c r="B105" s="11"/>
      <c r="C105" s="11"/>
      <c r="D105" s="11"/>
      <c r="E105" s="12"/>
      <c r="F105" s="13"/>
      <c r="G105" s="13"/>
      <c r="H105" s="14"/>
      <c r="I105" s="11"/>
      <c r="J105" s="129"/>
      <c r="K105" s="14"/>
      <c r="L105" s="11"/>
      <c r="M105" s="15"/>
      <c r="N105" s="15"/>
      <c r="P105" t="s">
        <v>141</v>
      </c>
      <c r="Q105" s="184" t="s">
        <v>30</v>
      </c>
      <c r="R105" s="129" t="str">
        <f t="shared" si="6"/>
        <v/>
      </c>
      <c r="S105" s="3">
        <f t="shared" si="5"/>
        <v>1</v>
      </c>
      <c r="T105" s="3" t="s">
        <v>31</v>
      </c>
      <c r="U105" s="185" t="str">
        <f t="shared" si="3"/>
        <v>N/A</v>
      </c>
    </row>
    <row r="106" spans="1:21" ht="18.75" customHeight="1" x14ac:dyDescent="0.35">
      <c r="A106" s="11"/>
      <c r="B106" s="11"/>
      <c r="C106" s="11"/>
      <c r="D106" s="11"/>
      <c r="E106" s="12"/>
      <c r="F106" s="13"/>
      <c r="G106" s="13"/>
      <c r="H106" s="14"/>
      <c r="I106" s="11"/>
      <c r="J106" s="129"/>
      <c r="K106" s="14"/>
      <c r="L106" s="11"/>
      <c r="M106" s="15"/>
      <c r="N106" s="15"/>
      <c r="P106" t="s">
        <v>141</v>
      </c>
      <c r="Q106" s="184" t="s">
        <v>30</v>
      </c>
      <c r="R106" s="129" t="str">
        <f t="shared" si="6"/>
        <v/>
      </c>
      <c r="S106" s="3">
        <f t="shared" si="5"/>
        <v>1</v>
      </c>
      <c r="T106" s="3" t="s">
        <v>31</v>
      </c>
      <c r="U106" s="185" t="str">
        <f t="shared" si="3"/>
        <v>N/A</v>
      </c>
    </row>
    <row r="107" spans="1:21" ht="18.75" customHeight="1" x14ac:dyDescent="0.35">
      <c r="A107" s="246" t="s">
        <v>28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8"/>
      <c r="P107" t="s">
        <v>142</v>
      </c>
      <c r="Q107" s="184" t="s">
        <v>30</v>
      </c>
      <c r="S107" s="3">
        <f t="shared" si="5"/>
        <v>1</v>
      </c>
      <c r="T107" s="3" t="s">
        <v>32</v>
      </c>
      <c r="U107" s="185" t="str">
        <f t="shared" si="3"/>
        <v>N/A</v>
      </c>
    </row>
    <row r="108" spans="1:21" ht="18.75" customHeight="1" x14ac:dyDescent="0.35">
      <c r="A108" s="129">
        <v>54175</v>
      </c>
      <c r="B108" s="129">
        <v>1</v>
      </c>
      <c r="C108" s="129" t="s">
        <v>56</v>
      </c>
      <c r="D108" s="129" t="s">
        <v>95</v>
      </c>
      <c r="E108" s="130">
        <v>1.5</v>
      </c>
      <c r="F108" s="131">
        <v>6.9900000000000004E-2</v>
      </c>
      <c r="G108" s="131">
        <v>8.2133333000000003E-2</v>
      </c>
      <c r="H108" s="133">
        <v>99</v>
      </c>
      <c r="I108" s="129" t="s">
        <v>53</v>
      </c>
      <c r="J108" s="129" t="s">
        <v>52</v>
      </c>
      <c r="K108" s="133">
        <v>0</v>
      </c>
      <c r="L108" s="129" t="s">
        <v>52</v>
      </c>
      <c r="M108" s="134" t="s">
        <v>282</v>
      </c>
      <c r="N108" s="129" t="s">
        <v>53</v>
      </c>
      <c r="P108" t="s">
        <v>142</v>
      </c>
      <c r="Q108" s="184" t="s">
        <v>30</v>
      </c>
      <c r="R108" s="129">
        <f t="shared" si="6"/>
        <v>54175</v>
      </c>
      <c r="S108" s="3">
        <f t="shared" si="5"/>
        <v>1</v>
      </c>
      <c r="T108" s="3" t="s">
        <v>32</v>
      </c>
      <c r="U108" s="185" t="str">
        <f t="shared" si="3"/>
        <v>N/A</v>
      </c>
    </row>
    <row r="109" spans="1:21" ht="18.75" customHeight="1" x14ac:dyDescent="0.35">
      <c r="A109" s="129">
        <v>54197</v>
      </c>
      <c r="B109" s="11">
        <v>2</v>
      </c>
      <c r="C109" s="11" t="s">
        <v>56</v>
      </c>
      <c r="D109" s="11" t="s">
        <v>95</v>
      </c>
      <c r="E109" s="12">
        <v>0.65</v>
      </c>
      <c r="F109" s="13">
        <v>4.5400000000000003E-2</v>
      </c>
      <c r="G109" s="131">
        <v>7.8105307999999998E-2</v>
      </c>
      <c r="H109" s="14">
        <v>1899</v>
      </c>
      <c r="I109" s="11" t="s">
        <v>53</v>
      </c>
      <c r="J109" s="129" t="s">
        <v>52</v>
      </c>
      <c r="K109" s="14">
        <v>0</v>
      </c>
      <c r="L109" s="11" t="s">
        <v>52</v>
      </c>
      <c r="M109" s="15" t="s">
        <v>283</v>
      </c>
      <c r="N109" s="129" t="s">
        <v>53</v>
      </c>
      <c r="P109" t="s">
        <v>142</v>
      </c>
      <c r="Q109" s="184" t="s">
        <v>30</v>
      </c>
      <c r="R109" s="129">
        <f t="shared" si="6"/>
        <v>54197</v>
      </c>
      <c r="S109" s="3">
        <f t="shared" si="5"/>
        <v>1</v>
      </c>
      <c r="T109" s="3" t="s">
        <v>32</v>
      </c>
      <c r="U109" s="185" t="str">
        <f t="shared" si="3"/>
        <v>N/A</v>
      </c>
    </row>
    <row r="110" spans="1:21" ht="18.75" customHeight="1" x14ac:dyDescent="0.35">
      <c r="A110" s="129">
        <v>54193</v>
      </c>
      <c r="B110" s="11">
        <v>2</v>
      </c>
      <c r="C110" s="11" t="s">
        <v>56</v>
      </c>
      <c r="D110" s="11" t="s">
        <v>95</v>
      </c>
      <c r="E110" s="12">
        <v>0.65</v>
      </c>
      <c r="F110" s="13">
        <v>4.7399999999999998E-2</v>
      </c>
      <c r="G110" s="131">
        <v>7.8509113000000005E-2</v>
      </c>
      <c r="H110" s="14">
        <v>999</v>
      </c>
      <c r="I110" s="11" t="s">
        <v>53</v>
      </c>
      <c r="J110" s="129" t="s">
        <v>52</v>
      </c>
      <c r="K110" s="14">
        <v>0</v>
      </c>
      <c r="L110" s="11" t="s">
        <v>52</v>
      </c>
      <c r="M110" s="15" t="s">
        <v>283</v>
      </c>
      <c r="N110" s="15" t="s">
        <v>53</v>
      </c>
      <c r="P110" t="s">
        <v>142</v>
      </c>
      <c r="Q110" s="184" t="s">
        <v>30</v>
      </c>
      <c r="R110" s="129">
        <f t="shared" si="6"/>
        <v>54193</v>
      </c>
      <c r="S110" s="3">
        <f t="shared" si="5"/>
        <v>1</v>
      </c>
      <c r="T110" s="3" t="s">
        <v>32</v>
      </c>
      <c r="U110" s="185" t="str">
        <f t="shared" si="3"/>
        <v>N/A</v>
      </c>
    </row>
    <row r="111" spans="1:21" ht="18.75" customHeight="1" x14ac:dyDescent="0.35">
      <c r="A111" s="129">
        <v>54192</v>
      </c>
      <c r="B111" s="11">
        <v>2</v>
      </c>
      <c r="C111" s="11" t="s">
        <v>56</v>
      </c>
      <c r="D111" s="11" t="s">
        <v>95</v>
      </c>
      <c r="E111" s="12">
        <v>0.65</v>
      </c>
      <c r="F111" s="13">
        <v>4.99E-2</v>
      </c>
      <c r="G111" s="131">
        <v>7.8171519999999994E-2</v>
      </c>
      <c r="H111" s="14">
        <v>0</v>
      </c>
      <c r="I111" s="11" t="s">
        <v>53</v>
      </c>
      <c r="J111" s="129" t="s">
        <v>52</v>
      </c>
      <c r="K111" s="14">
        <v>0</v>
      </c>
      <c r="L111" s="11" t="s">
        <v>52</v>
      </c>
      <c r="M111" s="15" t="s">
        <v>283</v>
      </c>
      <c r="N111" s="15" t="s">
        <v>53</v>
      </c>
      <c r="P111" t="s">
        <v>142</v>
      </c>
      <c r="Q111" s="184" t="s">
        <v>30</v>
      </c>
      <c r="R111" s="129">
        <f t="shared" si="6"/>
        <v>54192</v>
      </c>
      <c r="S111" s="3">
        <f t="shared" si="5"/>
        <v>1</v>
      </c>
      <c r="T111" s="3" t="s">
        <v>32</v>
      </c>
      <c r="U111" s="185" t="str">
        <f t="shared" si="3"/>
        <v>N/A</v>
      </c>
    </row>
    <row r="112" spans="1:21" ht="18.75" customHeight="1" x14ac:dyDescent="0.35">
      <c r="A112" s="129">
        <v>54194</v>
      </c>
      <c r="B112" s="11">
        <v>2</v>
      </c>
      <c r="C112" s="11" t="s">
        <v>56</v>
      </c>
      <c r="D112" s="11" t="s">
        <v>95</v>
      </c>
      <c r="E112" s="12">
        <v>0.75</v>
      </c>
      <c r="F112" s="13">
        <v>4.8399999999999999E-2</v>
      </c>
      <c r="G112" s="131">
        <v>7.8424606999999993E-2</v>
      </c>
      <c r="H112" s="14">
        <v>999</v>
      </c>
      <c r="I112" s="11" t="s">
        <v>53</v>
      </c>
      <c r="J112" s="129" t="s">
        <v>52</v>
      </c>
      <c r="K112" s="14">
        <v>0</v>
      </c>
      <c r="L112" s="11" t="s">
        <v>52</v>
      </c>
      <c r="M112" s="15" t="s">
        <v>283</v>
      </c>
      <c r="N112" s="15" t="s">
        <v>53</v>
      </c>
      <c r="P112" t="s">
        <v>142</v>
      </c>
      <c r="Q112" s="184" t="s">
        <v>30</v>
      </c>
      <c r="R112" s="129">
        <f t="shared" si="6"/>
        <v>54194</v>
      </c>
      <c r="S112" s="3">
        <f t="shared" si="5"/>
        <v>1</v>
      </c>
      <c r="T112" s="3" t="s">
        <v>32</v>
      </c>
      <c r="U112" s="185" t="str">
        <f t="shared" si="3"/>
        <v>N/A</v>
      </c>
    </row>
    <row r="113" spans="1:21" ht="18.75" customHeight="1" x14ac:dyDescent="0.35">
      <c r="A113" s="129">
        <v>54196</v>
      </c>
      <c r="B113" s="11">
        <v>2</v>
      </c>
      <c r="C113" s="11" t="s">
        <v>56</v>
      </c>
      <c r="D113" s="11" t="s">
        <v>95</v>
      </c>
      <c r="E113" s="12">
        <v>0.75</v>
      </c>
      <c r="F113" s="13">
        <v>5.0900000000000001E-2</v>
      </c>
      <c r="G113" s="131">
        <v>7.8340338999999995E-2</v>
      </c>
      <c r="H113" s="14">
        <v>0</v>
      </c>
      <c r="I113" s="11" t="s">
        <v>53</v>
      </c>
      <c r="J113" s="129" t="s">
        <v>52</v>
      </c>
      <c r="K113" s="14">
        <v>0</v>
      </c>
      <c r="L113" s="11" t="s">
        <v>52</v>
      </c>
      <c r="M113" s="15" t="s">
        <v>283</v>
      </c>
      <c r="N113" s="15" t="s">
        <v>53</v>
      </c>
      <c r="P113" t="s">
        <v>142</v>
      </c>
      <c r="Q113" s="184" t="s">
        <v>30</v>
      </c>
      <c r="R113" s="129">
        <f t="shared" si="6"/>
        <v>54196</v>
      </c>
      <c r="S113" s="3">
        <f t="shared" si="5"/>
        <v>1</v>
      </c>
      <c r="T113" s="3" t="s">
        <v>32</v>
      </c>
      <c r="U113" s="185" t="str">
        <f t="shared" ref="U113:U155" si="7">IF(C113="Discount",IF(OR(T113=$W$8,T113=$W$10,T113=$W$11,T113=$W$19,T113=$W$20,T113=$W$21,T113=$W$22),$AI$5-F113,$AH$5-F113),IF(C113="Tracker",F113-$AG$5,"N/A"))</f>
        <v>N/A</v>
      </c>
    </row>
    <row r="114" spans="1:21" ht="18.75" customHeight="1" x14ac:dyDescent="0.35">
      <c r="A114" s="129">
        <v>54198</v>
      </c>
      <c r="B114" s="11">
        <v>2</v>
      </c>
      <c r="C114" s="11" t="s">
        <v>56</v>
      </c>
      <c r="D114" s="11" t="s">
        <v>95</v>
      </c>
      <c r="E114" s="12">
        <v>0.85</v>
      </c>
      <c r="F114" s="13">
        <v>6.6900000000000001E-2</v>
      </c>
      <c r="G114" s="131">
        <v>8.1096459999999995E-2</v>
      </c>
      <c r="H114" s="14">
        <v>0</v>
      </c>
      <c r="I114" s="11" t="s">
        <v>53</v>
      </c>
      <c r="J114" s="129" t="s">
        <v>52</v>
      </c>
      <c r="K114" s="14">
        <v>0</v>
      </c>
      <c r="L114" s="11" t="s">
        <v>52</v>
      </c>
      <c r="M114" s="15" t="s">
        <v>283</v>
      </c>
      <c r="N114" s="15" t="s">
        <v>53</v>
      </c>
      <c r="P114" t="s">
        <v>142</v>
      </c>
      <c r="Q114" s="184" t="s">
        <v>30</v>
      </c>
      <c r="R114" s="129">
        <f t="shared" si="6"/>
        <v>54198</v>
      </c>
      <c r="S114" s="3">
        <f t="shared" si="5"/>
        <v>1</v>
      </c>
      <c r="T114" s="3" t="s">
        <v>32</v>
      </c>
      <c r="U114" s="185" t="str">
        <f t="shared" si="7"/>
        <v>N/A</v>
      </c>
    </row>
    <row r="115" spans="1:21" ht="18.75" customHeight="1" x14ac:dyDescent="0.35">
      <c r="A115" s="129">
        <v>54195</v>
      </c>
      <c r="B115" s="11">
        <v>5</v>
      </c>
      <c r="C115" s="11" t="s">
        <v>56</v>
      </c>
      <c r="D115" s="11" t="s">
        <v>95</v>
      </c>
      <c r="E115" s="12">
        <v>0.65</v>
      </c>
      <c r="F115" s="13">
        <v>4.5900000000000003E-2</v>
      </c>
      <c r="G115" s="131">
        <v>7.2134948000000004E-2</v>
      </c>
      <c r="H115" s="14">
        <v>999</v>
      </c>
      <c r="I115" s="11" t="s">
        <v>53</v>
      </c>
      <c r="J115" s="129" t="s">
        <v>52</v>
      </c>
      <c r="K115" s="14">
        <v>0</v>
      </c>
      <c r="L115" s="11" t="s">
        <v>52</v>
      </c>
      <c r="M115" s="15" t="s">
        <v>284</v>
      </c>
      <c r="N115" s="15" t="s">
        <v>53</v>
      </c>
      <c r="P115" t="s">
        <v>142</v>
      </c>
      <c r="Q115" s="184" t="s">
        <v>30</v>
      </c>
      <c r="R115" s="129">
        <f t="shared" si="6"/>
        <v>54195</v>
      </c>
      <c r="S115" s="3">
        <f t="shared" si="5"/>
        <v>1</v>
      </c>
      <c r="T115" s="3" t="s">
        <v>32</v>
      </c>
      <c r="U115" s="185" t="str">
        <f t="shared" si="7"/>
        <v>N/A</v>
      </c>
    </row>
    <row r="116" spans="1:21" ht="18.75" customHeight="1" x14ac:dyDescent="0.35">
      <c r="A116" s="129">
        <v>54199</v>
      </c>
      <c r="B116" s="11">
        <v>5</v>
      </c>
      <c r="C116" s="11" t="s">
        <v>56</v>
      </c>
      <c r="D116" s="11" t="s">
        <v>95</v>
      </c>
      <c r="E116" s="12">
        <v>0.75</v>
      </c>
      <c r="F116" s="13">
        <v>4.7899999999999998E-2</v>
      </c>
      <c r="G116" s="131">
        <v>7.2374004000000006E-2</v>
      </c>
      <c r="H116" s="14">
        <v>0</v>
      </c>
      <c r="I116" s="11" t="s">
        <v>53</v>
      </c>
      <c r="J116" s="129" t="s">
        <v>52</v>
      </c>
      <c r="K116" s="14">
        <v>0</v>
      </c>
      <c r="L116" s="11" t="s">
        <v>52</v>
      </c>
      <c r="M116" s="15" t="s">
        <v>284</v>
      </c>
      <c r="N116" s="15" t="s">
        <v>53</v>
      </c>
      <c r="P116" t="s">
        <v>142</v>
      </c>
      <c r="Q116" s="184" t="s">
        <v>30</v>
      </c>
      <c r="R116" s="129">
        <f t="shared" si="6"/>
        <v>54199</v>
      </c>
      <c r="S116" s="3">
        <f t="shared" si="5"/>
        <v>1</v>
      </c>
      <c r="T116" s="3" t="s">
        <v>32</v>
      </c>
      <c r="U116" s="185" t="str">
        <f t="shared" si="7"/>
        <v>N/A</v>
      </c>
    </row>
    <row r="117" spans="1:21" ht="18.75" customHeight="1" x14ac:dyDescent="0.35">
      <c r="A117" s="129"/>
      <c r="B117" s="11"/>
      <c r="C117" s="11"/>
      <c r="D117" s="11"/>
      <c r="E117" s="12"/>
      <c r="F117" s="13"/>
      <c r="G117" s="131"/>
      <c r="H117" s="14"/>
      <c r="I117" s="11"/>
      <c r="J117" s="129"/>
      <c r="K117" s="14"/>
      <c r="L117" s="11"/>
      <c r="M117" s="15"/>
      <c r="N117" s="15"/>
      <c r="P117" t="s">
        <v>142</v>
      </c>
      <c r="Q117" s="184" t="s">
        <v>30</v>
      </c>
      <c r="R117" s="129" t="str">
        <f t="shared" si="6"/>
        <v/>
      </c>
      <c r="S117" s="3">
        <f t="shared" si="5"/>
        <v>1</v>
      </c>
      <c r="T117" s="3" t="s">
        <v>32</v>
      </c>
      <c r="U117" s="185" t="str">
        <f t="shared" si="7"/>
        <v>N/A</v>
      </c>
    </row>
    <row r="118" spans="1:21" ht="18.75" customHeight="1" x14ac:dyDescent="0.35">
      <c r="A118" s="129"/>
      <c r="B118" s="11"/>
      <c r="C118" s="11"/>
      <c r="D118" s="11"/>
      <c r="E118" s="12"/>
      <c r="F118" s="13"/>
      <c r="G118" s="131"/>
      <c r="H118" s="14"/>
      <c r="I118" s="11"/>
      <c r="J118" s="129"/>
      <c r="K118" s="14"/>
      <c r="L118" s="11"/>
      <c r="M118" s="15"/>
      <c r="N118" s="15"/>
      <c r="P118" t="s">
        <v>142</v>
      </c>
      <c r="Q118" s="184" t="s">
        <v>30</v>
      </c>
      <c r="R118" s="129" t="str">
        <f t="shared" si="6"/>
        <v/>
      </c>
      <c r="S118" s="3">
        <f t="shared" si="5"/>
        <v>1</v>
      </c>
      <c r="T118" s="3" t="s">
        <v>32</v>
      </c>
      <c r="U118" s="185" t="str">
        <f t="shared" si="7"/>
        <v>N/A</v>
      </c>
    </row>
    <row r="119" spans="1:21" ht="18.75" customHeight="1" x14ac:dyDescent="0.35">
      <c r="A119" s="129"/>
      <c r="B119" s="11"/>
      <c r="C119" s="11"/>
      <c r="D119" s="11"/>
      <c r="E119" s="12"/>
      <c r="F119" s="13"/>
      <c r="G119" s="131"/>
      <c r="H119" s="14"/>
      <c r="I119" s="11"/>
      <c r="J119" s="129"/>
      <c r="K119" s="14"/>
      <c r="L119" s="11"/>
      <c r="M119" s="15"/>
      <c r="N119" s="15"/>
      <c r="P119" t="s">
        <v>142</v>
      </c>
      <c r="Q119" s="184" t="s">
        <v>30</v>
      </c>
      <c r="R119" s="129" t="str">
        <f t="shared" si="6"/>
        <v/>
      </c>
      <c r="S119" s="3">
        <f t="shared" si="5"/>
        <v>1</v>
      </c>
      <c r="T119" s="3" t="s">
        <v>32</v>
      </c>
      <c r="U119" s="185" t="str">
        <f t="shared" si="7"/>
        <v>N/A</v>
      </c>
    </row>
    <row r="120" spans="1:21" ht="18.75" customHeight="1" x14ac:dyDescent="0.35">
      <c r="A120" s="129"/>
      <c r="B120" s="11"/>
      <c r="C120" s="11"/>
      <c r="D120" s="11"/>
      <c r="E120" s="12"/>
      <c r="F120" s="13"/>
      <c r="G120" s="131"/>
      <c r="H120" s="14"/>
      <c r="I120" s="11"/>
      <c r="J120" s="129"/>
      <c r="K120" s="14"/>
      <c r="L120" s="11"/>
      <c r="M120" s="15"/>
      <c r="N120" s="15"/>
      <c r="P120" t="s">
        <v>142</v>
      </c>
      <c r="Q120" s="184" t="s">
        <v>30</v>
      </c>
      <c r="R120" s="129" t="str">
        <f t="shared" si="6"/>
        <v/>
      </c>
      <c r="S120" s="3">
        <f t="shared" si="5"/>
        <v>1</v>
      </c>
      <c r="T120" s="3" t="s">
        <v>32</v>
      </c>
      <c r="U120" s="185" t="str">
        <f t="shared" si="7"/>
        <v>N/A</v>
      </c>
    </row>
    <row r="121" spans="1:21" ht="18.75" customHeight="1" x14ac:dyDescent="0.35">
      <c r="A121" s="129"/>
      <c r="B121" s="11"/>
      <c r="C121" s="11"/>
      <c r="D121" s="11"/>
      <c r="E121" s="12"/>
      <c r="F121" s="13"/>
      <c r="G121" s="131"/>
      <c r="H121" s="14"/>
      <c r="I121" s="11"/>
      <c r="J121" s="129"/>
      <c r="K121" s="14"/>
      <c r="L121" s="11"/>
      <c r="M121" s="15"/>
      <c r="N121" s="15"/>
      <c r="P121" t="s">
        <v>142</v>
      </c>
      <c r="Q121" s="184" t="s">
        <v>30</v>
      </c>
      <c r="R121" s="129" t="str">
        <f t="shared" si="6"/>
        <v/>
      </c>
      <c r="S121" s="3">
        <f t="shared" si="5"/>
        <v>1</v>
      </c>
      <c r="T121" s="3" t="s">
        <v>32</v>
      </c>
      <c r="U121" s="185" t="str">
        <f t="shared" si="7"/>
        <v>N/A</v>
      </c>
    </row>
    <row r="122" spans="1:21" ht="18.75" customHeight="1" x14ac:dyDescent="0.35">
      <c r="A122" s="11"/>
      <c r="B122" s="11"/>
      <c r="C122" s="11"/>
      <c r="D122" s="11"/>
      <c r="E122" s="12"/>
      <c r="F122" s="13"/>
      <c r="G122" s="131"/>
      <c r="H122" s="14"/>
      <c r="I122" s="11"/>
      <c r="J122" s="129"/>
      <c r="K122" s="14"/>
      <c r="L122" s="11"/>
      <c r="M122" s="15"/>
      <c r="N122" s="15"/>
      <c r="P122" t="s">
        <v>142</v>
      </c>
      <c r="Q122" s="184" t="s">
        <v>30</v>
      </c>
      <c r="R122" s="129" t="str">
        <f t="shared" si="6"/>
        <v/>
      </c>
      <c r="S122" s="3">
        <f t="shared" si="5"/>
        <v>1</v>
      </c>
      <c r="T122" s="3" t="s">
        <v>32</v>
      </c>
      <c r="U122" s="185" t="str">
        <f t="shared" si="7"/>
        <v>N/A</v>
      </c>
    </row>
    <row r="123" spans="1:21" ht="18.75" customHeight="1" x14ac:dyDescent="0.35">
      <c r="A123" s="11"/>
      <c r="B123" s="11"/>
      <c r="C123" s="11"/>
      <c r="D123" s="11"/>
      <c r="E123" s="12"/>
      <c r="F123" s="13"/>
      <c r="G123" s="131"/>
      <c r="H123" s="14"/>
      <c r="I123" s="11"/>
      <c r="J123" s="129"/>
      <c r="K123" s="14"/>
      <c r="L123" s="11"/>
      <c r="M123" s="15"/>
      <c r="N123" s="15"/>
      <c r="P123" t="s">
        <v>142</v>
      </c>
      <c r="Q123" s="184" t="s">
        <v>30</v>
      </c>
      <c r="R123" s="129" t="str">
        <f t="shared" si="6"/>
        <v/>
      </c>
      <c r="S123" s="3">
        <f t="shared" si="5"/>
        <v>1</v>
      </c>
      <c r="T123" s="3" t="s">
        <v>32</v>
      </c>
      <c r="U123" s="185" t="str">
        <f t="shared" si="7"/>
        <v>N/A</v>
      </c>
    </row>
    <row r="124" spans="1:21" ht="18.75" customHeight="1" x14ac:dyDescent="0.35">
      <c r="A124" s="11"/>
      <c r="B124" s="11"/>
      <c r="C124" s="11"/>
      <c r="D124" s="11"/>
      <c r="E124" s="12"/>
      <c r="F124" s="13"/>
      <c r="G124" s="131"/>
      <c r="H124" s="14"/>
      <c r="I124" s="11"/>
      <c r="J124" s="129"/>
      <c r="K124" s="14"/>
      <c r="L124" s="11"/>
      <c r="M124" s="15"/>
      <c r="N124" s="15"/>
      <c r="P124" t="s">
        <v>142</v>
      </c>
      <c r="Q124" s="184" t="s">
        <v>30</v>
      </c>
      <c r="R124" s="129" t="str">
        <f t="shared" si="6"/>
        <v/>
      </c>
      <c r="S124" s="3">
        <f t="shared" si="5"/>
        <v>1</v>
      </c>
      <c r="T124" s="3" t="s">
        <v>32</v>
      </c>
      <c r="U124" s="185" t="str">
        <f t="shared" si="7"/>
        <v>N/A</v>
      </c>
    </row>
    <row r="125" spans="1:21" ht="18.75" customHeight="1" x14ac:dyDescent="0.35">
      <c r="A125" s="11"/>
      <c r="B125" s="11"/>
      <c r="C125" s="11"/>
      <c r="D125" s="11"/>
      <c r="E125" s="12"/>
      <c r="F125" s="13"/>
      <c r="G125" s="131"/>
      <c r="H125" s="14"/>
      <c r="I125" s="11"/>
      <c r="J125" s="129"/>
      <c r="K125" s="14"/>
      <c r="L125" s="11"/>
      <c r="M125" s="15"/>
      <c r="N125" s="15"/>
      <c r="P125" t="s">
        <v>142</v>
      </c>
      <c r="Q125" s="184" t="s">
        <v>30</v>
      </c>
      <c r="R125" s="129" t="str">
        <f t="shared" si="6"/>
        <v/>
      </c>
      <c r="S125" s="3">
        <f t="shared" si="5"/>
        <v>1</v>
      </c>
      <c r="T125" s="3" t="s">
        <v>32</v>
      </c>
      <c r="U125" s="185" t="str">
        <f t="shared" si="7"/>
        <v>N/A</v>
      </c>
    </row>
    <row r="126" spans="1:21" ht="18.75" customHeight="1" x14ac:dyDescent="0.35">
      <c r="A126" s="11"/>
      <c r="B126" s="11"/>
      <c r="C126" s="11"/>
      <c r="D126" s="11"/>
      <c r="E126" s="12"/>
      <c r="F126" s="13"/>
      <c r="G126" s="13"/>
      <c r="H126" s="14"/>
      <c r="I126" s="11"/>
      <c r="J126" s="129"/>
      <c r="K126" s="14"/>
      <c r="L126" s="11"/>
      <c r="M126" s="15"/>
      <c r="N126" s="15"/>
      <c r="P126" t="s">
        <v>142</v>
      </c>
      <c r="Q126" s="184" t="s">
        <v>30</v>
      </c>
      <c r="R126" s="129" t="str">
        <f t="shared" si="6"/>
        <v/>
      </c>
      <c r="S126" s="3">
        <f t="shared" si="5"/>
        <v>1</v>
      </c>
      <c r="T126" s="3" t="s">
        <v>32</v>
      </c>
      <c r="U126" s="185" t="str">
        <f t="shared" si="7"/>
        <v>N/A</v>
      </c>
    </row>
    <row r="127" spans="1:21" ht="18.75" customHeight="1" x14ac:dyDescent="0.35">
      <c r="A127" s="11"/>
      <c r="B127" s="11"/>
      <c r="C127" s="11"/>
      <c r="D127" s="11"/>
      <c r="E127" s="12"/>
      <c r="F127" s="13"/>
      <c r="G127" s="13"/>
      <c r="H127" s="14"/>
      <c r="I127" s="11"/>
      <c r="J127" s="129"/>
      <c r="K127" s="14"/>
      <c r="L127" s="11"/>
      <c r="M127" s="15"/>
      <c r="N127" s="15"/>
      <c r="P127" t="s">
        <v>142</v>
      </c>
      <c r="Q127" s="184" t="s">
        <v>30</v>
      </c>
      <c r="R127" s="129" t="str">
        <f t="shared" si="6"/>
        <v/>
      </c>
      <c r="S127" s="3">
        <f t="shared" si="5"/>
        <v>1</v>
      </c>
      <c r="T127" s="3" t="s">
        <v>32</v>
      </c>
      <c r="U127" s="185" t="str">
        <f t="shared" si="7"/>
        <v>N/A</v>
      </c>
    </row>
    <row r="128" spans="1:21" ht="18.75" customHeight="1" x14ac:dyDescent="0.35">
      <c r="A128" s="246" t="s">
        <v>40</v>
      </c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8"/>
      <c r="P128" t="s">
        <v>139</v>
      </c>
      <c r="Q128" t="s">
        <v>143</v>
      </c>
      <c r="S128" s="3">
        <f t="shared" ref="S128:S171" si="8">IF(OR($C$2="",$C$2="Residential"),1,0)</f>
        <v>1</v>
      </c>
      <c r="T128" s="3" t="s">
        <v>34</v>
      </c>
      <c r="U128" s="185" t="str">
        <f t="shared" si="7"/>
        <v>N/A</v>
      </c>
    </row>
    <row r="129" spans="1:21" s="66" customFormat="1" ht="18.75" customHeight="1" x14ac:dyDescent="0.35">
      <c r="A129" s="11">
        <v>54278</v>
      </c>
      <c r="B129" s="11">
        <v>2</v>
      </c>
      <c r="C129" s="11" t="s">
        <v>56</v>
      </c>
      <c r="D129" s="11" t="s">
        <v>95</v>
      </c>
      <c r="E129" s="12">
        <v>0.6</v>
      </c>
      <c r="F129" s="13">
        <v>4.36E-2</v>
      </c>
      <c r="G129" s="131">
        <v>7.9699965999999997E-2</v>
      </c>
      <c r="H129" s="14">
        <v>1499</v>
      </c>
      <c r="I129" s="11" t="s">
        <v>53</v>
      </c>
      <c r="J129" s="129" t="s">
        <v>52</v>
      </c>
      <c r="K129" s="14">
        <v>0</v>
      </c>
      <c r="L129" s="11" t="s">
        <v>52</v>
      </c>
      <c r="M129" s="15" t="s">
        <v>283</v>
      </c>
      <c r="N129" s="129" t="s">
        <v>53</v>
      </c>
      <c r="P129" s="224" t="s">
        <v>139</v>
      </c>
      <c r="Q129" s="224" t="s">
        <v>143</v>
      </c>
      <c r="R129" s="223">
        <f t="shared" si="6"/>
        <v>54278</v>
      </c>
      <c r="S129" s="51">
        <f t="shared" si="8"/>
        <v>1</v>
      </c>
      <c r="T129" s="51" t="s">
        <v>34</v>
      </c>
      <c r="U129" s="225" t="str">
        <f t="shared" ref="U129" si="9">IF(C129="Discount",IF(OR(T129=$W$8,T129=$W$10,T129=$W$11,T129=$W$19,T129=$W$20,T129=$W$21,T129=$W$22),$AI$5-F129,$AH$5-F129),IF(C129="Tracker",F129-$AG$5,"N/A"))</f>
        <v>N/A</v>
      </c>
    </row>
    <row r="130" spans="1:21" s="66" customFormat="1" ht="18.75" customHeight="1" x14ac:dyDescent="0.35">
      <c r="A130" s="11">
        <v>54281</v>
      </c>
      <c r="B130" s="11">
        <v>2</v>
      </c>
      <c r="C130" s="11" t="s">
        <v>56</v>
      </c>
      <c r="D130" s="11" t="s">
        <v>95</v>
      </c>
      <c r="E130" s="12">
        <v>0.6</v>
      </c>
      <c r="F130" s="13">
        <v>4.53E-2</v>
      </c>
      <c r="G130" s="131">
        <v>8.0178536999999994E-2</v>
      </c>
      <c r="H130" s="14">
        <v>999</v>
      </c>
      <c r="I130" s="11" t="s">
        <v>53</v>
      </c>
      <c r="J130" s="129" t="s">
        <v>52</v>
      </c>
      <c r="K130" s="14">
        <v>0</v>
      </c>
      <c r="L130" s="11" t="s">
        <v>52</v>
      </c>
      <c r="M130" s="15" t="s">
        <v>283</v>
      </c>
      <c r="N130" s="15" t="s">
        <v>53</v>
      </c>
      <c r="P130" s="224" t="s">
        <v>139</v>
      </c>
      <c r="Q130" s="224" t="s">
        <v>143</v>
      </c>
      <c r="R130" s="223">
        <f t="shared" si="6"/>
        <v>54281</v>
      </c>
      <c r="S130" s="51">
        <f t="shared" si="8"/>
        <v>1</v>
      </c>
      <c r="T130" s="51" t="s">
        <v>34</v>
      </c>
      <c r="U130" s="225" t="str">
        <f t="shared" si="7"/>
        <v>N/A</v>
      </c>
    </row>
    <row r="131" spans="1:21" s="66" customFormat="1" ht="18.75" customHeight="1" x14ac:dyDescent="0.35">
      <c r="A131" s="11">
        <v>54287</v>
      </c>
      <c r="B131" s="11">
        <v>2</v>
      </c>
      <c r="C131" s="11" t="s">
        <v>56</v>
      </c>
      <c r="D131" s="11" t="s">
        <v>95</v>
      </c>
      <c r="E131" s="12">
        <v>0.6</v>
      </c>
      <c r="F131" s="13">
        <v>4.8000000000000001E-2</v>
      </c>
      <c r="G131" s="131">
        <v>7.9872363000000002E-2</v>
      </c>
      <c r="H131" s="14">
        <v>0</v>
      </c>
      <c r="I131" s="11" t="s">
        <v>53</v>
      </c>
      <c r="J131" s="129" t="s">
        <v>52</v>
      </c>
      <c r="K131" s="14">
        <v>0</v>
      </c>
      <c r="L131" s="11" t="s">
        <v>52</v>
      </c>
      <c r="M131" s="15" t="s">
        <v>283</v>
      </c>
      <c r="N131" s="15" t="s">
        <v>53</v>
      </c>
      <c r="P131" s="224" t="s">
        <v>139</v>
      </c>
      <c r="Q131" s="224" t="s">
        <v>143</v>
      </c>
      <c r="R131" s="223">
        <f t="shared" si="6"/>
        <v>54287</v>
      </c>
      <c r="S131" s="51">
        <f t="shared" si="8"/>
        <v>1</v>
      </c>
      <c r="T131" s="51" t="s">
        <v>34</v>
      </c>
      <c r="U131" s="225" t="str">
        <f t="shared" si="7"/>
        <v>N/A</v>
      </c>
    </row>
    <row r="132" spans="1:21" s="66" customFormat="1" ht="18.75" customHeight="1" x14ac:dyDescent="0.35">
      <c r="A132" s="11">
        <v>54282</v>
      </c>
      <c r="B132" s="11">
        <v>2</v>
      </c>
      <c r="C132" s="11" t="s">
        <v>56</v>
      </c>
      <c r="D132" s="11" t="s">
        <v>95</v>
      </c>
      <c r="E132" s="12">
        <v>0.75</v>
      </c>
      <c r="F132" s="13">
        <v>5.4899999999999997E-2</v>
      </c>
      <c r="G132" s="131">
        <v>8.1831213999999999E-2</v>
      </c>
      <c r="H132" s="14">
        <v>999</v>
      </c>
      <c r="I132" s="11" t="s">
        <v>53</v>
      </c>
      <c r="J132" s="129" t="s">
        <v>52</v>
      </c>
      <c r="K132" s="14">
        <v>0</v>
      </c>
      <c r="L132" s="11" t="s">
        <v>52</v>
      </c>
      <c r="M132" s="15" t="s">
        <v>283</v>
      </c>
      <c r="N132" s="15" t="s">
        <v>53</v>
      </c>
      <c r="P132" s="224" t="s">
        <v>139</v>
      </c>
      <c r="Q132" s="224" t="s">
        <v>143</v>
      </c>
      <c r="R132" s="223">
        <f t="shared" si="6"/>
        <v>54282</v>
      </c>
      <c r="S132" s="51">
        <f t="shared" si="8"/>
        <v>1</v>
      </c>
      <c r="T132" s="51" t="s">
        <v>34</v>
      </c>
      <c r="U132" s="225" t="str">
        <f t="shared" si="7"/>
        <v>N/A</v>
      </c>
    </row>
    <row r="133" spans="1:21" s="66" customFormat="1" ht="18.75" customHeight="1" x14ac:dyDescent="0.35">
      <c r="A133" s="11">
        <v>54290</v>
      </c>
      <c r="B133" s="11">
        <v>2</v>
      </c>
      <c r="C133" s="11" t="s">
        <v>56</v>
      </c>
      <c r="D133" s="11" t="s">
        <v>95</v>
      </c>
      <c r="E133" s="12">
        <v>0.75</v>
      </c>
      <c r="F133" s="13">
        <v>6.0299999999999999E-2</v>
      </c>
      <c r="G133" s="131">
        <v>8.1985638999999999E-2</v>
      </c>
      <c r="H133" s="14">
        <v>0</v>
      </c>
      <c r="I133" s="11" t="s">
        <v>53</v>
      </c>
      <c r="J133" s="129" t="s">
        <v>52</v>
      </c>
      <c r="K133" s="14">
        <v>0</v>
      </c>
      <c r="L133" s="11" t="s">
        <v>52</v>
      </c>
      <c r="M133" s="15" t="s">
        <v>283</v>
      </c>
      <c r="N133" s="15" t="s">
        <v>53</v>
      </c>
      <c r="P133" s="224" t="s">
        <v>139</v>
      </c>
      <c r="Q133" s="224" t="s">
        <v>143</v>
      </c>
      <c r="R133" s="223">
        <f t="shared" si="6"/>
        <v>54290</v>
      </c>
      <c r="S133" s="51">
        <f t="shared" si="8"/>
        <v>1</v>
      </c>
      <c r="T133" s="51" t="s">
        <v>34</v>
      </c>
      <c r="U133" s="225" t="str">
        <f t="shared" si="7"/>
        <v>N/A</v>
      </c>
    </row>
    <row r="134" spans="1:21" s="66" customFormat="1" ht="18.75" customHeight="1" x14ac:dyDescent="0.35">
      <c r="A134" s="11">
        <v>54289</v>
      </c>
      <c r="B134" s="11">
        <v>2</v>
      </c>
      <c r="C134" s="11" t="s">
        <v>56</v>
      </c>
      <c r="D134" s="11" t="s">
        <v>95</v>
      </c>
      <c r="E134" s="12">
        <v>1.25</v>
      </c>
      <c r="F134" s="13">
        <v>6.6900000000000001E-2</v>
      </c>
      <c r="G134" s="131">
        <v>8.3147971000000001E-2</v>
      </c>
      <c r="H134" s="14">
        <v>0</v>
      </c>
      <c r="I134" s="11" t="s">
        <v>53</v>
      </c>
      <c r="J134" s="129" t="s">
        <v>52</v>
      </c>
      <c r="K134" s="14">
        <v>0</v>
      </c>
      <c r="L134" s="11" t="s">
        <v>52</v>
      </c>
      <c r="M134" s="15" t="s">
        <v>283</v>
      </c>
      <c r="N134" s="15" t="s">
        <v>53</v>
      </c>
      <c r="P134" s="224" t="s">
        <v>139</v>
      </c>
      <c r="Q134" s="224" t="s">
        <v>143</v>
      </c>
      <c r="R134" s="223">
        <f t="shared" si="6"/>
        <v>54289</v>
      </c>
      <c r="S134" s="51">
        <f t="shared" si="8"/>
        <v>1</v>
      </c>
      <c r="T134" s="51" t="s">
        <v>34</v>
      </c>
      <c r="U134" s="225" t="str">
        <f t="shared" si="7"/>
        <v>N/A</v>
      </c>
    </row>
    <row r="135" spans="1:21" s="66" customFormat="1" ht="18.75" customHeight="1" x14ac:dyDescent="0.35">
      <c r="A135" s="11">
        <v>54293</v>
      </c>
      <c r="B135" s="11">
        <v>5</v>
      </c>
      <c r="C135" s="11" t="s">
        <v>56</v>
      </c>
      <c r="D135" s="11" t="s">
        <v>95</v>
      </c>
      <c r="E135" s="12">
        <v>0.6</v>
      </c>
      <c r="F135" s="13">
        <v>4.1399999999999999E-2</v>
      </c>
      <c r="G135" s="131">
        <v>7.2679327000000002E-2</v>
      </c>
      <c r="H135" s="14">
        <v>999</v>
      </c>
      <c r="I135" s="11" t="s">
        <v>53</v>
      </c>
      <c r="J135" s="129" t="s">
        <v>52</v>
      </c>
      <c r="K135" s="14">
        <v>0</v>
      </c>
      <c r="L135" s="11" t="s">
        <v>52</v>
      </c>
      <c r="M135" s="15" t="s">
        <v>284</v>
      </c>
      <c r="N135" s="15" t="s">
        <v>53</v>
      </c>
      <c r="P135" s="224" t="s">
        <v>139</v>
      </c>
      <c r="Q135" s="224" t="s">
        <v>143</v>
      </c>
      <c r="R135" s="223">
        <f t="shared" si="6"/>
        <v>54293</v>
      </c>
      <c r="S135" s="51">
        <f t="shared" si="8"/>
        <v>1</v>
      </c>
      <c r="T135" s="51" t="s">
        <v>34</v>
      </c>
      <c r="U135" s="225" t="str">
        <f t="shared" si="7"/>
        <v>N/A</v>
      </c>
    </row>
    <row r="136" spans="1:21" s="66" customFormat="1" ht="18.75" customHeight="1" x14ac:dyDescent="0.35">
      <c r="A136" s="11">
        <v>54296</v>
      </c>
      <c r="B136" s="11">
        <v>5</v>
      </c>
      <c r="C136" s="11" t="s">
        <v>56</v>
      </c>
      <c r="D136" s="11" t="s">
        <v>95</v>
      </c>
      <c r="E136" s="12">
        <v>0.6</v>
      </c>
      <c r="F136" s="13">
        <v>4.3299999999999998E-2</v>
      </c>
      <c r="G136" s="131">
        <v>7.2651485000000002E-2</v>
      </c>
      <c r="H136" s="14">
        <v>0</v>
      </c>
      <c r="I136" s="11" t="s">
        <v>53</v>
      </c>
      <c r="J136" s="129" t="s">
        <v>52</v>
      </c>
      <c r="K136" s="14">
        <v>0</v>
      </c>
      <c r="L136" s="11" t="s">
        <v>52</v>
      </c>
      <c r="M136" s="15" t="s">
        <v>284</v>
      </c>
      <c r="N136" s="15" t="s">
        <v>53</v>
      </c>
      <c r="P136" s="224" t="s">
        <v>139</v>
      </c>
      <c r="Q136" s="224" t="s">
        <v>143</v>
      </c>
      <c r="R136" s="223">
        <f t="shared" ref="R136:R168" si="10">IF(A136="","",A136)</f>
        <v>54296</v>
      </c>
      <c r="S136" s="51">
        <f t="shared" si="8"/>
        <v>1</v>
      </c>
      <c r="T136" s="51" t="s">
        <v>34</v>
      </c>
      <c r="U136" s="225" t="str">
        <f t="shared" si="7"/>
        <v>N/A</v>
      </c>
    </row>
    <row r="137" spans="1:21" s="66" customFormat="1" ht="18.75" customHeight="1" x14ac:dyDescent="0.35">
      <c r="A137" s="11">
        <v>54292</v>
      </c>
      <c r="B137" s="11">
        <v>5</v>
      </c>
      <c r="C137" s="11" t="s">
        <v>56</v>
      </c>
      <c r="D137" s="11" t="s">
        <v>95</v>
      </c>
      <c r="E137" s="12">
        <v>0.75</v>
      </c>
      <c r="F137" s="13">
        <v>5.4100000000000002E-2</v>
      </c>
      <c r="G137" s="131">
        <v>7.7226401E-2</v>
      </c>
      <c r="H137" s="14">
        <v>999</v>
      </c>
      <c r="I137" s="11" t="s">
        <v>53</v>
      </c>
      <c r="J137" s="129" t="s">
        <v>52</v>
      </c>
      <c r="K137" s="14">
        <v>0</v>
      </c>
      <c r="L137" s="11" t="s">
        <v>52</v>
      </c>
      <c r="M137" s="15" t="s">
        <v>284</v>
      </c>
      <c r="N137" s="15" t="s">
        <v>53</v>
      </c>
      <c r="P137" s="224" t="s">
        <v>139</v>
      </c>
      <c r="Q137" s="224" t="s">
        <v>143</v>
      </c>
      <c r="R137" s="223">
        <f t="shared" si="10"/>
        <v>54292</v>
      </c>
      <c r="S137" s="51">
        <f t="shared" si="8"/>
        <v>1</v>
      </c>
      <c r="T137" s="51" t="s">
        <v>34</v>
      </c>
      <c r="U137" s="225" t="str">
        <f t="shared" si="7"/>
        <v>N/A</v>
      </c>
    </row>
    <row r="138" spans="1:21" s="66" customFormat="1" ht="18.75" customHeight="1" x14ac:dyDescent="0.35">
      <c r="A138" s="11">
        <v>54285</v>
      </c>
      <c r="B138" s="11">
        <v>5</v>
      </c>
      <c r="C138" s="11" t="s">
        <v>56</v>
      </c>
      <c r="D138" s="11" t="s">
        <v>95</v>
      </c>
      <c r="E138" s="12">
        <v>0.75</v>
      </c>
      <c r="F138" s="13">
        <v>5.5199999999999999E-2</v>
      </c>
      <c r="G138" s="131">
        <v>7.6895355999999998E-2</v>
      </c>
      <c r="H138" s="14">
        <v>0</v>
      </c>
      <c r="I138" s="11" t="s">
        <v>53</v>
      </c>
      <c r="J138" s="129" t="s">
        <v>52</v>
      </c>
      <c r="K138" s="14">
        <v>0</v>
      </c>
      <c r="L138" s="11" t="s">
        <v>52</v>
      </c>
      <c r="M138" s="15" t="s">
        <v>284</v>
      </c>
      <c r="N138" s="15" t="s">
        <v>53</v>
      </c>
      <c r="P138" s="224" t="s">
        <v>139</v>
      </c>
      <c r="Q138" s="224" t="s">
        <v>143</v>
      </c>
      <c r="R138" s="223">
        <f t="shared" si="10"/>
        <v>54285</v>
      </c>
      <c r="S138" s="51">
        <f t="shared" si="8"/>
        <v>1</v>
      </c>
      <c r="T138" s="51" t="s">
        <v>34</v>
      </c>
      <c r="U138" s="225" t="str">
        <f t="shared" si="7"/>
        <v>N/A</v>
      </c>
    </row>
    <row r="139" spans="1:21" s="66" customFormat="1" ht="18.75" customHeight="1" x14ac:dyDescent="0.35">
      <c r="A139" s="11"/>
      <c r="B139" s="11"/>
      <c r="C139" s="11"/>
      <c r="D139" s="11"/>
      <c r="E139" s="12"/>
      <c r="F139" s="13"/>
      <c r="G139" s="131"/>
      <c r="H139" s="14"/>
      <c r="I139" s="11"/>
      <c r="J139" s="129"/>
      <c r="K139" s="14"/>
      <c r="L139" s="11"/>
      <c r="M139" s="15"/>
      <c r="N139" s="15"/>
      <c r="P139" s="224" t="s">
        <v>139</v>
      </c>
      <c r="Q139" s="224" t="s">
        <v>143</v>
      </c>
      <c r="R139" s="223" t="str">
        <f t="shared" si="10"/>
        <v/>
      </c>
      <c r="S139" s="51">
        <f t="shared" si="8"/>
        <v>1</v>
      </c>
      <c r="T139" s="51" t="s">
        <v>34</v>
      </c>
      <c r="U139" s="225" t="str">
        <f t="shared" si="7"/>
        <v>N/A</v>
      </c>
    </row>
    <row r="140" spans="1:21" s="66" customFormat="1" ht="18.75" customHeight="1" x14ac:dyDescent="0.35">
      <c r="A140" s="11"/>
      <c r="B140" s="11"/>
      <c r="C140" s="11"/>
      <c r="D140" s="11"/>
      <c r="E140" s="12"/>
      <c r="F140" s="13"/>
      <c r="G140" s="131"/>
      <c r="H140" s="14"/>
      <c r="I140" s="11"/>
      <c r="J140" s="129" t="str">
        <f t="shared" ref="J140:J168" si="11">IF(A140="","","Yes")</f>
        <v/>
      </c>
      <c r="K140" s="14"/>
      <c r="L140" s="11"/>
      <c r="M140" s="15"/>
      <c r="N140" s="15"/>
      <c r="P140" s="224" t="s">
        <v>139</v>
      </c>
      <c r="Q140" s="224" t="s">
        <v>143</v>
      </c>
      <c r="R140" s="223" t="str">
        <f t="shared" si="10"/>
        <v/>
      </c>
      <c r="S140" s="51">
        <f t="shared" si="8"/>
        <v>1</v>
      </c>
      <c r="T140" s="51" t="s">
        <v>34</v>
      </c>
      <c r="U140" s="225" t="str">
        <f t="shared" si="7"/>
        <v>N/A</v>
      </c>
    </row>
    <row r="141" spans="1:21" s="66" customFormat="1" ht="18.75" customHeight="1" x14ac:dyDescent="0.35">
      <c r="A141" s="11"/>
      <c r="B141" s="11"/>
      <c r="C141" s="11"/>
      <c r="D141" s="11"/>
      <c r="E141" s="12"/>
      <c r="F141" s="13"/>
      <c r="G141" s="131"/>
      <c r="H141" s="14"/>
      <c r="I141" s="11"/>
      <c r="J141" s="129" t="str">
        <f t="shared" si="11"/>
        <v/>
      </c>
      <c r="K141" s="14"/>
      <c r="L141" s="11"/>
      <c r="M141" s="15"/>
      <c r="N141" s="15"/>
      <c r="P141" s="224" t="s">
        <v>139</v>
      </c>
      <c r="Q141" s="224" t="s">
        <v>143</v>
      </c>
      <c r="R141" s="223" t="str">
        <f t="shared" si="10"/>
        <v/>
      </c>
      <c r="S141" s="51">
        <f t="shared" si="8"/>
        <v>1</v>
      </c>
      <c r="T141" s="51" t="s">
        <v>34</v>
      </c>
      <c r="U141" s="225" t="str">
        <f t="shared" si="7"/>
        <v>N/A</v>
      </c>
    </row>
    <row r="142" spans="1:21" s="66" customFormat="1" ht="18.75" customHeight="1" x14ac:dyDescent="0.35">
      <c r="A142" s="11"/>
      <c r="B142" s="11"/>
      <c r="C142" s="11"/>
      <c r="D142" s="11"/>
      <c r="E142" s="12"/>
      <c r="F142" s="13"/>
      <c r="G142" s="131"/>
      <c r="H142" s="14"/>
      <c r="I142" s="11"/>
      <c r="J142" s="129" t="str">
        <f t="shared" si="11"/>
        <v/>
      </c>
      <c r="K142" s="14"/>
      <c r="L142" s="11"/>
      <c r="M142" s="15"/>
      <c r="N142" s="15"/>
      <c r="P142" s="224" t="s">
        <v>139</v>
      </c>
      <c r="Q142" s="224" t="s">
        <v>143</v>
      </c>
      <c r="R142" s="223" t="str">
        <f t="shared" si="10"/>
        <v/>
      </c>
      <c r="S142" s="51">
        <f t="shared" si="8"/>
        <v>1</v>
      </c>
      <c r="T142" s="51" t="s">
        <v>34</v>
      </c>
      <c r="U142" s="225" t="str">
        <f t="shared" si="7"/>
        <v>N/A</v>
      </c>
    </row>
    <row r="143" spans="1:21" s="66" customFormat="1" ht="18.75" customHeight="1" x14ac:dyDescent="0.35">
      <c r="A143" s="11"/>
      <c r="B143" s="11"/>
      <c r="C143" s="11"/>
      <c r="D143" s="11"/>
      <c r="E143" s="12"/>
      <c r="F143" s="13"/>
      <c r="G143" s="131"/>
      <c r="H143" s="14"/>
      <c r="I143" s="11"/>
      <c r="J143" s="129" t="str">
        <f t="shared" si="11"/>
        <v/>
      </c>
      <c r="K143" s="14"/>
      <c r="L143" s="11"/>
      <c r="M143" s="15"/>
      <c r="N143" s="15"/>
      <c r="P143" s="224" t="s">
        <v>139</v>
      </c>
      <c r="Q143" s="224" t="s">
        <v>143</v>
      </c>
      <c r="R143" s="223" t="str">
        <f t="shared" si="10"/>
        <v/>
      </c>
      <c r="S143" s="51">
        <f t="shared" si="8"/>
        <v>1</v>
      </c>
      <c r="T143" s="51" t="s">
        <v>34</v>
      </c>
      <c r="U143" s="225" t="str">
        <f t="shared" si="7"/>
        <v>N/A</v>
      </c>
    </row>
    <row r="144" spans="1:21" s="66" customFormat="1" ht="18.75" customHeight="1" x14ac:dyDescent="0.35">
      <c r="A144" s="11"/>
      <c r="B144" s="11"/>
      <c r="C144" s="11"/>
      <c r="D144" s="11"/>
      <c r="E144" s="12"/>
      <c r="F144" s="13"/>
      <c r="G144" s="131"/>
      <c r="H144" s="14"/>
      <c r="I144" s="11"/>
      <c r="J144" s="129" t="str">
        <f t="shared" si="11"/>
        <v/>
      </c>
      <c r="K144" s="14"/>
      <c r="L144" s="11"/>
      <c r="M144" s="15"/>
      <c r="N144" s="15"/>
      <c r="P144" s="224" t="s">
        <v>139</v>
      </c>
      <c r="Q144" s="224" t="s">
        <v>143</v>
      </c>
      <c r="R144" s="223" t="str">
        <f t="shared" si="10"/>
        <v/>
      </c>
      <c r="S144" s="51">
        <f t="shared" si="8"/>
        <v>1</v>
      </c>
      <c r="T144" s="51" t="s">
        <v>34</v>
      </c>
      <c r="U144" s="225" t="str">
        <f t="shared" si="7"/>
        <v>N/A</v>
      </c>
    </row>
    <row r="145" spans="1:21" s="66" customFormat="1" ht="18.75" customHeight="1" x14ac:dyDescent="0.35">
      <c r="A145" s="226"/>
      <c r="B145" s="226"/>
      <c r="C145" s="226"/>
      <c r="D145" s="226"/>
      <c r="E145" s="227"/>
      <c r="F145" s="228"/>
      <c r="G145" s="128"/>
      <c r="H145" s="229"/>
      <c r="I145" s="226"/>
      <c r="J145" s="129" t="str">
        <f t="shared" si="11"/>
        <v/>
      </c>
      <c r="K145" s="229"/>
      <c r="L145" s="226"/>
      <c r="M145" s="230"/>
      <c r="N145" s="230"/>
      <c r="P145" s="224" t="s">
        <v>139</v>
      </c>
      <c r="Q145" s="224" t="s">
        <v>143</v>
      </c>
      <c r="R145" s="223" t="str">
        <f t="shared" si="10"/>
        <v/>
      </c>
      <c r="S145" s="51">
        <f t="shared" si="8"/>
        <v>1</v>
      </c>
      <c r="T145" s="51" t="s">
        <v>34</v>
      </c>
      <c r="U145" s="225" t="str">
        <f t="shared" si="7"/>
        <v>N/A</v>
      </c>
    </row>
    <row r="146" spans="1:21" s="66" customFormat="1" ht="18.75" customHeight="1" x14ac:dyDescent="0.35">
      <c r="A146" s="226"/>
      <c r="B146" s="226"/>
      <c r="C146" s="226"/>
      <c r="D146" s="226"/>
      <c r="E146" s="227"/>
      <c r="F146" s="228"/>
      <c r="G146" s="128"/>
      <c r="H146" s="229"/>
      <c r="I146" s="226"/>
      <c r="J146" s="129" t="str">
        <f t="shared" si="11"/>
        <v/>
      </c>
      <c r="K146" s="229"/>
      <c r="L146" s="226"/>
      <c r="M146" s="230"/>
      <c r="N146" s="230"/>
      <c r="P146" s="224" t="s">
        <v>139</v>
      </c>
      <c r="Q146" s="224" t="s">
        <v>143</v>
      </c>
      <c r="R146" s="223" t="str">
        <f t="shared" si="10"/>
        <v/>
      </c>
      <c r="S146" s="51">
        <f t="shared" si="8"/>
        <v>1</v>
      </c>
      <c r="T146" s="51" t="s">
        <v>34</v>
      </c>
      <c r="U146" s="225" t="str">
        <f t="shared" si="7"/>
        <v>N/A</v>
      </c>
    </row>
    <row r="147" spans="1:21" s="66" customFormat="1" ht="18.75" customHeight="1" x14ac:dyDescent="0.35">
      <c r="A147" s="226"/>
      <c r="B147" s="226"/>
      <c r="C147" s="226"/>
      <c r="D147" s="226"/>
      <c r="E147" s="227"/>
      <c r="F147" s="228"/>
      <c r="G147" s="128"/>
      <c r="H147" s="229"/>
      <c r="I147" s="226"/>
      <c r="J147" s="129" t="str">
        <f t="shared" si="11"/>
        <v/>
      </c>
      <c r="K147" s="229"/>
      <c r="L147" s="226"/>
      <c r="M147" s="230"/>
      <c r="N147" s="230"/>
      <c r="P147" s="224" t="s">
        <v>139</v>
      </c>
      <c r="Q147" s="224" t="s">
        <v>143</v>
      </c>
      <c r="R147" s="223" t="str">
        <f t="shared" si="10"/>
        <v/>
      </c>
      <c r="S147" s="51">
        <f t="shared" si="8"/>
        <v>1</v>
      </c>
      <c r="T147" s="51" t="s">
        <v>34</v>
      </c>
      <c r="U147" s="225" t="str">
        <f t="shared" si="7"/>
        <v>N/A</v>
      </c>
    </row>
    <row r="148" spans="1:21" s="66" customFormat="1" ht="18.75" customHeight="1" x14ac:dyDescent="0.35">
      <c r="A148" s="11"/>
      <c r="B148" s="11"/>
      <c r="C148" s="11"/>
      <c r="D148" s="11"/>
      <c r="E148" s="12"/>
      <c r="F148" s="13"/>
      <c r="G148" s="131"/>
      <c r="H148" s="14"/>
      <c r="I148" s="11"/>
      <c r="J148" s="129" t="str">
        <f t="shared" si="11"/>
        <v/>
      </c>
      <c r="K148" s="14"/>
      <c r="L148" s="11"/>
      <c r="M148" s="15"/>
      <c r="N148" s="15"/>
      <c r="P148" s="224" t="s">
        <v>139</v>
      </c>
      <c r="Q148" s="224" t="s">
        <v>143</v>
      </c>
      <c r="R148" s="223" t="str">
        <f t="shared" si="10"/>
        <v/>
      </c>
      <c r="S148" s="51">
        <f t="shared" si="8"/>
        <v>1</v>
      </c>
      <c r="T148" s="51" t="s">
        <v>34</v>
      </c>
      <c r="U148" s="225" t="str">
        <f t="shared" si="7"/>
        <v>N/A</v>
      </c>
    </row>
    <row r="149" spans="1:21" s="66" customFormat="1" ht="18.75" customHeight="1" x14ac:dyDescent="0.35">
      <c r="A149" s="11"/>
      <c r="B149" s="11"/>
      <c r="C149" s="11"/>
      <c r="D149" s="11"/>
      <c r="E149" s="12"/>
      <c r="F149" s="13"/>
      <c r="G149" s="131"/>
      <c r="H149" s="14"/>
      <c r="I149" s="11"/>
      <c r="J149" s="129" t="str">
        <f t="shared" si="11"/>
        <v/>
      </c>
      <c r="K149" s="14"/>
      <c r="L149" s="11"/>
      <c r="M149" s="15"/>
      <c r="N149" s="15"/>
      <c r="P149" s="224" t="s">
        <v>139</v>
      </c>
      <c r="Q149" s="224" t="s">
        <v>143</v>
      </c>
      <c r="R149" s="223" t="str">
        <f t="shared" si="10"/>
        <v/>
      </c>
      <c r="S149" s="51">
        <f t="shared" si="8"/>
        <v>1</v>
      </c>
      <c r="T149" s="51" t="s">
        <v>34</v>
      </c>
      <c r="U149" s="225" t="str">
        <f t="shared" si="7"/>
        <v>N/A</v>
      </c>
    </row>
    <row r="150" spans="1:21" s="66" customFormat="1" ht="18.75" customHeight="1" x14ac:dyDescent="0.35">
      <c r="A150" s="11"/>
      <c r="B150" s="11"/>
      <c r="C150" s="11"/>
      <c r="D150" s="11"/>
      <c r="E150" s="12"/>
      <c r="F150" s="13"/>
      <c r="G150" s="131"/>
      <c r="H150" s="14"/>
      <c r="I150" s="11"/>
      <c r="J150" s="129" t="str">
        <f t="shared" si="11"/>
        <v/>
      </c>
      <c r="K150" s="14"/>
      <c r="L150" s="11"/>
      <c r="M150" s="15"/>
      <c r="N150" s="15"/>
      <c r="P150" s="224" t="s">
        <v>139</v>
      </c>
      <c r="Q150" s="224" t="s">
        <v>143</v>
      </c>
      <c r="R150" s="223" t="str">
        <f t="shared" si="10"/>
        <v/>
      </c>
      <c r="S150" s="51">
        <f t="shared" si="8"/>
        <v>1</v>
      </c>
      <c r="T150" s="51" t="s">
        <v>34</v>
      </c>
      <c r="U150" s="225" t="str">
        <f t="shared" si="7"/>
        <v>N/A</v>
      </c>
    </row>
    <row r="151" spans="1:21" ht="18.75" customHeight="1" x14ac:dyDescent="0.35">
      <c r="A151" s="11"/>
      <c r="B151" s="11"/>
      <c r="C151" s="11"/>
      <c r="D151" s="11"/>
      <c r="E151" s="12"/>
      <c r="F151" s="13"/>
      <c r="G151" s="13"/>
      <c r="H151" s="14"/>
      <c r="I151" s="11"/>
      <c r="J151" s="129" t="str">
        <f t="shared" si="11"/>
        <v/>
      </c>
      <c r="K151" s="14"/>
      <c r="L151" s="11"/>
      <c r="M151" s="15"/>
      <c r="N151" s="15"/>
      <c r="P151" t="s">
        <v>139</v>
      </c>
      <c r="Q151" t="s">
        <v>143</v>
      </c>
      <c r="R151" s="129" t="str">
        <f t="shared" si="10"/>
        <v/>
      </c>
      <c r="S151" s="3">
        <f t="shared" si="8"/>
        <v>1</v>
      </c>
      <c r="T151" s="3" t="s">
        <v>34</v>
      </c>
      <c r="U151" s="185" t="str">
        <f t="shared" si="7"/>
        <v>N/A</v>
      </c>
    </row>
    <row r="152" spans="1:21" ht="18.75" customHeight="1" x14ac:dyDescent="0.35">
      <c r="A152" s="11"/>
      <c r="B152" s="11"/>
      <c r="C152" s="11"/>
      <c r="D152" s="11"/>
      <c r="E152" s="12"/>
      <c r="F152" s="13"/>
      <c r="G152" s="13"/>
      <c r="H152" s="14"/>
      <c r="I152" s="11"/>
      <c r="J152" s="129" t="str">
        <f t="shared" si="11"/>
        <v/>
      </c>
      <c r="K152" s="14"/>
      <c r="L152" s="11"/>
      <c r="M152" s="15"/>
      <c r="N152" s="15"/>
      <c r="P152" t="s">
        <v>139</v>
      </c>
      <c r="Q152" t="s">
        <v>143</v>
      </c>
      <c r="R152" s="129" t="str">
        <f t="shared" si="10"/>
        <v/>
      </c>
      <c r="S152" s="3">
        <f t="shared" si="8"/>
        <v>1</v>
      </c>
      <c r="T152" s="3" t="s">
        <v>34</v>
      </c>
      <c r="U152" s="185" t="str">
        <f t="shared" si="7"/>
        <v>N/A</v>
      </c>
    </row>
    <row r="153" spans="1:21" ht="18.75" customHeight="1" x14ac:dyDescent="0.35">
      <c r="A153" s="11"/>
      <c r="B153" s="11"/>
      <c r="C153" s="11"/>
      <c r="D153" s="11"/>
      <c r="E153" s="12"/>
      <c r="F153" s="13"/>
      <c r="G153" s="13"/>
      <c r="H153" s="14"/>
      <c r="I153" s="11"/>
      <c r="J153" s="129" t="str">
        <f t="shared" si="11"/>
        <v/>
      </c>
      <c r="K153" s="14"/>
      <c r="L153" s="11"/>
      <c r="M153" s="15"/>
      <c r="N153" s="15"/>
      <c r="P153" t="s">
        <v>139</v>
      </c>
      <c r="Q153" t="s">
        <v>143</v>
      </c>
      <c r="R153" s="129" t="str">
        <f t="shared" si="10"/>
        <v/>
      </c>
      <c r="S153" s="3">
        <f t="shared" si="8"/>
        <v>1</v>
      </c>
      <c r="T153" s="3" t="s">
        <v>34</v>
      </c>
      <c r="U153" s="185" t="str">
        <f t="shared" si="7"/>
        <v>N/A</v>
      </c>
    </row>
    <row r="154" spans="1:21" ht="18.75" customHeight="1" x14ac:dyDescent="0.35">
      <c r="A154" s="11"/>
      <c r="B154" s="11"/>
      <c r="C154" s="11"/>
      <c r="D154" s="11"/>
      <c r="E154" s="12"/>
      <c r="F154" s="13"/>
      <c r="G154" s="13"/>
      <c r="H154" s="14"/>
      <c r="I154" s="11"/>
      <c r="J154" s="129" t="str">
        <f t="shared" si="11"/>
        <v/>
      </c>
      <c r="K154" s="14"/>
      <c r="L154" s="11"/>
      <c r="M154" s="15"/>
      <c r="N154" s="15"/>
      <c r="P154" t="s">
        <v>139</v>
      </c>
      <c r="Q154" t="s">
        <v>143</v>
      </c>
      <c r="R154" s="129" t="str">
        <f t="shared" si="10"/>
        <v/>
      </c>
      <c r="S154" s="3">
        <f t="shared" si="8"/>
        <v>1</v>
      </c>
      <c r="T154" s="3" t="s">
        <v>34</v>
      </c>
      <c r="U154" s="185" t="str">
        <f t="shared" si="7"/>
        <v>N/A</v>
      </c>
    </row>
    <row r="155" spans="1:21" ht="18.75" customHeight="1" x14ac:dyDescent="0.35">
      <c r="A155" s="11"/>
      <c r="B155" s="11"/>
      <c r="C155" s="11"/>
      <c r="D155" s="11"/>
      <c r="E155" s="12"/>
      <c r="F155" s="13"/>
      <c r="G155" s="13"/>
      <c r="H155" s="14"/>
      <c r="I155" s="11"/>
      <c r="J155" s="129" t="str">
        <f t="shared" si="11"/>
        <v/>
      </c>
      <c r="K155" s="14"/>
      <c r="L155" s="11"/>
      <c r="M155" s="15"/>
      <c r="N155" s="15"/>
      <c r="P155" t="s">
        <v>139</v>
      </c>
      <c r="Q155" t="s">
        <v>143</v>
      </c>
      <c r="R155" s="129" t="str">
        <f t="shared" si="10"/>
        <v/>
      </c>
      <c r="S155" s="3">
        <f t="shared" si="8"/>
        <v>1</v>
      </c>
      <c r="T155" s="3" t="s">
        <v>34</v>
      </c>
      <c r="U155" s="185" t="str">
        <f t="shared" si="7"/>
        <v>N/A</v>
      </c>
    </row>
    <row r="156" spans="1:21" ht="18.75" customHeight="1" x14ac:dyDescent="0.35">
      <c r="A156" s="11"/>
      <c r="B156" s="11"/>
      <c r="C156" s="11"/>
      <c r="D156" s="11"/>
      <c r="E156" s="12"/>
      <c r="F156" s="13"/>
      <c r="G156" s="13"/>
      <c r="H156" s="14"/>
      <c r="I156" s="11"/>
      <c r="J156" s="129" t="str">
        <f t="shared" si="11"/>
        <v/>
      </c>
      <c r="K156" s="14"/>
      <c r="L156" s="11"/>
      <c r="M156" s="15"/>
      <c r="N156" s="15"/>
      <c r="P156" t="s">
        <v>139</v>
      </c>
      <c r="Q156" t="s">
        <v>143</v>
      </c>
      <c r="R156" s="129" t="str">
        <f t="shared" si="10"/>
        <v/>
      </c>
      <c r="S156" s="3">
        <f t="shared" si="8"/>
        <v>1</v>
      </c>
      <c r="T156" s="3" t="s">
        <v>34</v>
      </c>
      <c r="U156" s="185" t="str">
        <f t="shared" ref="U156:U219" si="12">IF(C156="Discount",IF(OR(T156=$W$8,T156=$W$10,T156=$W$11,T156=$W$19,T156=$W$20,T156=$W$21,T156=$W$22),$AI$5-F156,$AH$5-F156),IF(C156="Tracker",F156-$AG$5,"N/A"))</f>
        <v>N/A</v>
      </c>
    </row>
    <row r="157" spans="1:21" ht="18.75" customHeight="1" x14ac:dyDescent="0.35">
      <c r="A157" s="11"/>
      <c r="B157" s="11"/>
      <c r="C157" s="11"/>
      <c r="D157" s="11"/>
      <c r="E157" s="12"/>
      <c r="F157" s="13"/>
      <c r="G157" s="13"/>
      <c r="H157" s="14"/>
      <c r="I157" s="11"/>
      <c r="J157" s="129" t="str">
        <f t="shared" si="11"/>
        <v/>
      </c>
      <c r="K157" s="14"/>
      <c r="L157" s="11"/>
      <c r="M157" s="15"/>
      <c r="N157" s="15"/>
      <c r="P157" t="s">
        <v>139</v>
      </c>
      <c r="Q157" t="s">
        <v>143</v>
      </c>
      <c r="R157" s="129" t="str">
        <f t="shared" si="10"/>
        <v/>
      </c>
      <c r="S157" s="3">
        <f t="shared" si="8"/>
        <v>1</v>
      </c>
      <c r="T157" s="3" t="s">
        <v>34</v>
      </c>
      <c r="U157" s="185" t="str">
        <f t="shared" si="12"/>
        <v>N/A</v>
      </c>
    </row>
    <row r="158" spans="1:21" ht="18.75" customHeight="1" x14ac:dyDescent="0.35">
      <c r="A158" s="11"/>
      <c r="B158" s="11"/>
      <c r="C158" s="11"/>
      <c r="D158" s="11"/>
      <c r="E158" s="12"/>
      <c r="F158" s="13"/>
      <c r="G158" s="13"/>
      <c r="H158" s="14"/>
      <c r="I158" s="11"/>
      <c r="J158" s="129" t="str">
        <f t="shared" si="11"/>
        <v/>
      </c>
      <c r="K158" s="14"/>
      <c r="L158" s="11"/>
      <c r="M158" s="15"/>
      <c r="N158" s="15"/>
      <c r="P158" t="s">
        <v>139</v>
      </c>
      <c r="Q158" t="s">
        <v>143</v>
      </c>
      <c r="R158" s="129" t="str">
        <f t="shared" si="10"/>
        <v/>
      </c>
      <c r="S158" s="3">
        <f t="shared" si="8"/>
        <v>1</v>
      </c>
      <c r="T158" s="3" t="s">
        <v>34</v>
      </c>
      <c r="U158" s="185" t="str">
        <f t="shared" si="12"/>
        <v>N/A</v>
      </c>
    </row>
    <row r="159" spans="1:21" ht="18.75" customHeight="1" x14ac:dyDescent="0.35">
      <c r="A159" s="11"/>
      <c r="B159" s="11"/>
      <c r="C159" s="11"/>
      <c r="D159" s="11"/>
      <c r="E159" s="12"/>
      <c r="F159" s="13"/>
      <c r="G159" s="13"/>
      <c r="H159" s="14"/>
      <c r="I159" s="11"/>
      <c r="J159" s="129" t="str">
        <f t="shared" si="11"/>
        <v/>
      </c>
      <c r="K159" s="14"/>
      <c r="L159" s="11"/>
      <c r="M159" s="15"/>
      <c r="N159" s="15"/>
      <c r="P159" t="s">
        <v>139</v>
      </c>
      <c r="Q159" t="s">
        <v>143</v>
      </c>
      <c r="R159" s="129" t="str">
        <f t="shared" si="10"/>
        <v/>
      </c>
      <c r="S159" s="3">
        <f t="shared" si="8"/>
        <v>1</v>
      </c>
      <c r="T159" s="3" t="s">
        <v>34</v>
      </c>
      <c r="U159" s="185" t="str">
        <f t="shared" si="12"/>
        <v>N/A</v>
      </c>
    </row>
    <row r="160" spans="1:21" ht="18.75" customHeight="1" x14ac:dyDescent="0.35">
      <c r="A160" s="11"/>
      <c r="B160" s="11"/>
      <c r="C160" s="11"/>
      <c r="D160" s="11"/>
      <c r="E160" s="12"/>
      <c r="F160" s="13"/>
      <c r="G160" s="13"/>
      <c r="H160" s="14"/>
      <c r="I160" s="11"/>
      <c r="J160" s="129" t="str">
        <f t="shared" si="11"/>
        <v/>
      </c>
      <c r="K160" s="14"/>
      <c r="L160" s="11"/>
      <c r="M160" s="15"/>
      <c r="N160" s="15"/>
      <c r="P160" t="s">
        <v>139</v>
      </c>
      <c r="Q160" t="s">
        <v>143</v>
      </c>
      <c r="R160" s="129" t="str">
        <f t="shared" si="10"/>
        <v/>
      </c>
      <c r="S160" s="3">
        <f t="shared" si="8"/>
        <v>1</v>
      </c>
      <c r="T160" s="3" t="s">
        <v>34</v>
      </c>
      <c r="U160" s="185" t="str">
        <f t="shared" si="12"/>
        <v>N/A</v>
      </c>
    </row>
    <row r="161" spans="1:21" ht="18.75" customHeight="1" x14ac:dyDescent="0.35">
      <c r="A161" s="11"/>
      <c r="B161" s="11"/>
      <c r="C161" s="11"/>
      <c r="D161" s="11"/>
      <c r="E161" s="12"/>
      <c r="F161" s="13"/>
      <c r="G161" s="13"/>
      <c r="H161" s="14"/>
      <c r="I161" s="11"/>
      <c r="J161" s="129" t="str">
        <f t="shared" si="11"/>
        <v/>
      </c>
      <c r="K161" s="14"/>
      <c r="L161" s="11"/>
      <c r="M161" s="15"/>
      <c r="N161" s="15"/>
      <c r="P161" t="s">
        <v>139</v>
      </c>
      <c r="Q161" t="s">
        <v>143</v>
      </c>
      <c r="R161" s="129" t="str">
        <f t="shared" si="10"/>
        <v/>
      </c>
      <c r="S161" s="3">
        <f t="shared" si="8"/>
        <v>1</v>
      </c>
      <c r="T161" s="3" t="s">
        <v>34</v>
      </c>
      <c r="U161" s="185" t="str">
        <f t="shared" si="12"/>
        <v>N/A</v>
      </c>
    </row>
    <row r="162" spans="1:21" ht="18.75" customHeight="1" x14ac:dyDescent="0.35">
      <c r="A162" s="11"/>
      <c r="B162" s="11"/>
      <c r="C162" s="11"/>
      <c r="D162" s="11"/>
      <c r="E162" s="12"/>
      <c r="F162" s="13"/>
      <c r="G162" s="13"/>
      <c r="H162" s="14"/>
      <c r="I162" s="11"/>
      <c r="J162" s="129" t="str">
        <f t="shared" si="11"/>
        <v/>
      </c>
      <c r="K162" s="14"/>
      <c r="L162" s="11"/>
      <c r="M162" s="15"/>
      <c r="N162" s="15"/>
      <c r="P162" t="s">
        <v>139</v>
      </c>
      <c r="Q162" t="s">
        <v>143</v>
      </c>
      <c r="R162" s="129" t="str">
        <f t="shared" si="10"/>
        <v/>
      </c>
      <c r="S162" s="3">
        <f t="shared" si="8"/>
        <v>1</v>
      </c>
      <c r="T162" s="3" t="s">
        <v>34</v>
      </c>
      <c r="U162" s="185" t="str">
        <f t="shared" si="12"/>
        <v>N/A</v>
      </c>
    </row>
    <row r="163" spans="1:21" ht="18.75" customHeight="1" x14ac:dyDescent="0.35">
      <c r="A163" s="11"/>
      <c r="B163" s="11"/>
      <c r="C163" s="11"/>
      <c r="D163" s="11"/>
      <c r="E163" s="12"/>
      <c r="F163" s="13"/>
      <c r="G163" s="13"/>
      <c r="H163" s="14"/>
      <c r="I163" s="11"/>
      <c r="J163" s="129" t="str">
        <f t="shared" si="11"/>
        <v/>
      </c>
      <c r="K163" s="14"/>
      <c r="L163" s="11"/>
      <c r="M163" s="15"/>
      <c r="N163" s="15"/>
      <c r="P163" t="s">
        <v>139</v>
      </c>
      <c r="Q163" t="s">
        <v>143</v>
      </c>
      <c r="R163" s="129" t="str">
        <f t="shared" si="10"/>
        <v/>
      </c>
      <c r="S163" s="3">
        <f t="shared" si="8"/>
        <v>1</v>
      </c>
      <c r="T163" s="3" t="s">
        <v>34</v>
      </c>
      <c r="U163" s="185" t="str">
        <f t="shared" si="12"/>
        <v>N/A</v>
      </c>
    </row>
    <row r="164" spans="1:21" ht="18.75" customHeight="1" x14ac:dyDescent="0.35">
      <c r="A164" s="11"/>
      <c r="B164" s="11"/>
      <c r="C164" s="11"/>
      <c r="D164" s="11"/>
      <c r="E164" s="12"/>
      <c r="F164" s="13"/>
      <c r="G164" s="13"/>
      <c r="H164" s="14"/>
      <c r="I164" s="11"/>
      <c r="J164" s="129" t="str">
        <f t="shared" si="11"/>
        <v/>
      </c>
      <c r="K164" s="14"/>
      <c r="L164" s="11"/>
      <c r="M164" s="15"/>
      <c r="N164" s="15"/>
      <c r="P164" t="s">
        <v>139</v>
      </c>
      <c r="Q164" t="s">
        <v>143</v>
      </c>
      <c r="R164" s="129" t="str">
        <f t="shared" si="10"/>
        <v/>
      </c>
      <c r="S164" s="3">
        <f t="shared" si="8"/>
        <v>1</v>
      </c>
      <c r="T164" s="3" t="s">
        <v>34</v>
      </c>
      <c r="U164" s="185" t="str">
        <f t="shared" si="12"/>
        <v>N/A</v>
      </c>
    </row>
    <row r="165" spans="1:21" ht="18.75" customHeight="1" x14ac:dyDescent="0.35">
      <c r="A165" s="11"/>
      <c r="B165" s="11"/>
      <c r="C165" s="11"/>
      <c r="D165" s="11"/>
      <c r="E165" s="12"/>
      <c r="F165" s="13"/>
      <c r="G165" s="13"/>
      <c r="H165" s="14"/>
      <c r="I165" s="11"/>
      <c r="J165" s="129" t="str">
        <f t="shared" si="11"/>
        <v/>
      </c>
      <c r="K165" s="14"/>
      <c r="L165" s="11"/>
      <c r="M165" s="15"/>
      <c r="N165" s="15"/>
      <c r="P165" t="s">
        <v>139</v>
      </c>
      <c r="Q165" t="s">
        <v>143</v>
      </c>
      <c r="R165" s="129" t="str">
        <f t="shared" si="10"/>
        <v/>
      </c>
      <c r="S165" s="3">
        <f t="shared" si="8"/>
        <v>1</v>
      </c>
      <c r="T165" s="3" t="s">
        <v>34</v>
      </c>
      <c r="U165" s="185" t="str">
        <f t="shared" si="12"/>
        <v>N/A</v>
      </c>
    </row>
    <row r="166" spans="1:21" ht="18.75" customHeight="1" x14ac:dyDescent="0.35">
      <c r="A166" s="11"/>
      <c r="B166" s="11"/>
      <c r="C166" s="11"/>
      <c r="D166" s="11"/>
      <c r="E166" s="12"/>
      <c r="F166" s="13"/>
      <c r="G166" s="13"/>
      <c r="H166" s="14"/>
      <c r="I166" s="11"/>
      <c r="J166" s="129" t="str">
        <f t="shared" si="11"/>
        <v/>
      </c>
      <c r="K166" s="14"/>
      <c r="L166" s="11"/>
      <c r="M166" s="15"/>
      <c r="N166" s="15"/>
      <c r="P166" t="s">
        <v>139</v>
      </c>
      <c r="Q166" t="s">
        <v>143</v>
      </c>
      <c r="R166" s="129" t="str">
        <f t="shared" si="10"/>
        <v/>
      </c>
      <c r="S166" s="3">
        <f t="shared" si="8"/>
        <v>1</v>
      </c>
      <c r="T166" s="3" t="s">
        <v>34</v>
      </c>
      <c r="U166" s="185" t="str">
        <f t="shared" si="12"/>
        <v>N/A</v>
      </c>
    </row>
    <row r="167" spans="1:21" ht="18.75" customHeight="1" x14ac:dyDescent="0.35">
      <c r="A167" s="11"/>
      <c r="B167" s="11"/>
      <c r="C167" s="11"/>
      <c r="D167" s="11"/>
      <c r="E167" s="12"/>
      <c r="F167" s="13"/>
      <c r="G167" s="13"/>
      <c r="H167" s="14"/>
      <c r="I167" s="11"/>
      <c r="J167" s="129" t="str">
        <f t="shared" si="11"/>
        <v/>
      </c>
      <c r="K167" s="14"/>
      <c r="L167" s="11"/>
      <c r="M167" s="15"/>
      <c r="N167" s="15"/>
      <c r="P167" t="s">
        <v>139</v>
      </c>
      <c r="Q167" t="s">
        <v>143</v>
      </c>
      <c r="R167" s="129" t="str">
        <f t="shared" si="10"/>
        <v/>
      </c>
      <c r="S167" s="3">
        <f t="shared" si="8"/>
        <v>1</v>
      </c>
      <c r="T167" s="3" t="s">
        <v>34</v>
      </c>
      <c r="U167" s="185" t="str">
        <f t="shared" si="12"/>
        <v>N/A</v>
      </c>
    </row>
    <row r="168" spans="1:21" ht="18.75" customHeight="1" x14ac:dyDescent="0.35">
      <c r="A168" s="11"/>
      <c r="B168" s="11"/>
      <c r="C168" s="11"/>
      <c r="D168" s="11"/>
      <c r="E168" s="12"/>
      <c r="F168" s="13"/>
      <c r="G168" s="13"/>
      <c r="H168" s="14"/>
      <c r="I168" s="11"/>
      <c r="J168" s="129" t="str">
        <f t="shared" si="11"/>
        <v/>
      </c>
      <c r="K168" s="14"/>
      <c r="L168" s="11"/>
      <c r="M168" s="15"/>
      <c r="N168" s="15"/>
      <c r="P168" t="s">
        <v>139</v>
      </c>
      <c r="Q168" t="s">
        <v>143</v>
      </c>
      <c r="R168" s="129" t="str">
        <f t="shared" si="10"/>
        <v/>
      </c>
      <c r="S168" s="3">
        <f t="shared" si="8"/>
        <v>1</v>
      </c>
      <c r="T168" s="3" t="s">
        <v>34</v>
      </c>
      <c r="U168" s="185" t="str">
        <f t="shared" si="12"/>
        <v>N/A</v>
      </c>
    </row>
    <row r="169" spans="1:21" ht="18.75" customHeight="1" x14ac:dyDescent="0.35">
      <c r="A169" s="246" t="s">
        <v>120</v>
      </c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8"/>
      <c r="P169" t="s">
        <v>144</v>
      </c>
      <c r="Q169" t="s">
        <v>143</v>
      </c>
      <c r="S169" s="3">
        <f t="shared" si="8"/>
        <v>1</v>
      </c>
      <c r="T169" s="3" t="s">
        <v>41</v>
      </c>
      <c r="U169" s="185" t="str">
        <f t="shared" si="12"/>
        <v>N/A</v>
      </c>
    </row>
    <row r="170" spans="1:21" ht="18.75" customHeight="1" x14ac:dyDescent="0.35">
      <c r="A170" s="11">
        <v>54363</v>
      </c>
      <c r="B170" s="11">
        <v>2</v>
      </c>
      <c r="C170" s="11" t="s">
        <v>56</v>
      </c>
      <c r="D170" s="11" t="s">
        <v>95</v>
      </c>
      <c r="E170" s="12">
        <v>0.6</v>
      </c>
      <c r="F170" s="13">
        <v>4.41E-2</v>
      </c>
      <c r="G170" s="131">
        <v>7.9784403000000004E-2</v>
      </c>
      <c r="H170" s="14">
        <v>1499</v>
      </c>
      <c r="I170" s="11" t="s">
        <v>53</v>
      </c>
      <c r="J170" s="129" t="s">
        <v>52</v>
      </c>
      <c r="K170" s="14">
        <v>0</v>
      </c>
      <c r="L170" s="11" t="s">
        <v>52</v>
      </c>
      <c r="M170" s="15" t="s">
        <v>283</v>
      </c>
      <c r="N170" s="129" t="s">
        <v>53</v>
      </c>
      <c r="P170" t="s">
        <v>144</v>
      </c>
      <c r="Q170" t="s">
        <v>143</v>
      </c>
      <c r="R170" s="129">
        <f t="shared" ref="R170:R209" si="13">IF(A170="","",A170)</f>
        <v>54363</v>
      </c>
      <c r="S170" s="3">
        <f t="shared" si="8"/>
        <v>1</v>
      </c>
      <c r="T170" s="3" t="s">
        <v>41</v>
      </c>
      <c r="U170" s="185" t="str">
        <f t="shared" si="12"/>
        <v>N/A</v>
      </c>
    </row>
    <row r="171" spans="1:21" ht="18.75" customHeight="1" x14ac:dyDescent="0.35">
      <c r="A171" s="11">
        <v>54355</v>
      </c>
      <c r="B171" s="11">
        <v>2</v>
      </c>
      <c r="C171" s="11" t="s">
        <v>56</v>
      </c>
      <c r="D171" s="11" t="s">
        <v>95</v>
      </c>
      <c r="E171" s="12">
        <v>0.6</v>
      </c>
      <c r="F171" s="13">
        <v>4.58E-2</v>
      </c>
      <c r="G171" s="131">
        <v>8.0263604000000002E-2</v>
      </c>
      <c r="H171" s="14">
        <v>999</v>
      </c>
      <c r="I171" s="11" t="s">
        <v>53</v>
      </c>
      <c r="J171" s="129" t="s">
        <v>52</v>
      </c>
      <c r="K171" s="14">
        <v>0</v>
      </c>
      <c r="L171" s="11" t="s">
        <v>52</v>
      </c>
      <c r="M171" s="15" t="s">
        <v>283</v>
      </c>
      <c r="N171" s="15" t="s">
        <v>53</v>
      </c>
      <c r="P171" t="s">
        <v>144</v>
      </c>
      <c r="Q171" t="s">
        <v>143</v>
      </c>
      <c r="R171" s="129">
        <f t="shared" si="13"/>
        <v>54355</v>
      </c>
      <c r="S171" s="3">
        <f t="shared" si="8"/>
        <v>1</v>
      </c>
      <c r="T171" s="3" t="s">
        <v>41</v>
      </c>
      <c r="U171" s="185" t="str">
        <f t="shared" si="12"/>
        <v>N/A</v>
      </c>
    </row>
    <row r="172" spans="1:21" ht="18.75" customHeight="1" x14ac:dyDescent="0.35">
      <c r="A172" s="11">
        <v>54362</v>
      </c>
      <c r="B172" s="11">
        <v>2</v>
      </c>
      <c r="C172" s="11" t="s">
        <v>56</v>
      </c>
      <c r="D172" s="11" t="s">
        <v>95</v>
      </c>
      <c r="E172" s="12">
        <v>0.6</v>
      </c>
      <c r="F172" s="13">
        <v>4.8500000000000001E-2</v>
      </c>
      <c r="G172" s="131">
        <v>7.9957110999999997E-2</v>
      </c>
      <c r="H172" s="14">
        <v>0</v>
      </c>
      <c r="I172" s="11" t="s">
        <v>53</v>
      </c>
      <c r="J172" s="129" t="s">
        <v>52</v>
      </c>
      <c r="K172" s="14">
        <v>0</v>
      </c>
      <c r="L172" s="11" t="s">
        <v>52</v>
      </c>
      <c r="M172" s="15" t="s">
        <v>283</v>
      </c>
      <c r="N172" s="15" t="s">
        <v>53</v>
      </c>
      <c r="P172" t="s">
        <v>144</v>
      </c>
      <c r="Q172" t="s">
        <v>143</v>
      </c>
      <c r="R172" s="129">
        <f t="shared" si="13"/>
        <v>54362</v>
      </c>
      <c r="S172" s="3">
        <f t="shared" ref="S172:S235" si="14">IF(OR($C$2="",$C$2="Residential"),1,0)</f>
        <v>1</v>
      </c>
      <c r="T172" s="3" t="s">
        <v>41</v>
      </c>
      <c r="U172" s="185" t="str">
        <f t="shared" si="12"/>
        <v>N/A</v>
      </c>
    </row>
    <row r="173" spans="1:21" ht="18.75" customHeight="1" x14ac:dyDescent="0.35">
      <c r="A173" s="11">
        <v>54373</v>
      </c>
      <c r="B173" s="11">
        <v>2</v>
      </c>
      <c r="C173" s="11" t="s">
        <v>56</v>
      </c>
      <c r="D173" s="11" t="s">
        <v>95</v>
      </c>
      <c r="E173" s="12">
        <v>0.75</v>
      </c>
      <c r="F173" s="13">
        <v>5.5399999999999998E-2</v>
      </c>
      <c r="G173" s="131">
        <v>8.1918427000000002E-2</v>
      </c>
      <c r="H173" s="14">
        <v>999</v>
      </c>
      <c r="I173" s="11" t="s">
        <v>53</v>
      </c>
      <c r="J173" s="129" t="s">
        <v>52</v>
      </c>
      <c r="K173" s="14">
        <v>0</v>
      </c>
      <c r="L173" s="11" t="s">
        <v>52</v>
      </c>
      <c r="M173" s="15" t="s">
        <v>283</v>
      </c>
      <c r="N173" s="15" t="s">
        <v>53</v>
      </c>
      <c r="P173" t="s">
        <v>144</v>
      </c>
      <c r="Q173" t="s">
        <v>143</v>
      </c>
      <c r="R173" s="129">
        <f t="shared" si="13"/>
        <v>54373</v>
      </c>
      <c r="S173" s="3">
        <f t="shared" si="14"/>
        <v>1</v>
      </c>
      <c r="T173" s="3" t="s">
        <v>41</v>
      </c>
      <c r="U173" s="185" t="str">
        <f t="shared" si="12"/>
        <v>N/A</v>
      </c>
    </row>
    <row r="174" spans="1:21" ht="18.75" customHeight="1" x14ac:dyDescent="0.35">
      <c r="A174" s="11">
        <v>54366</v>
      </c>
      <c r="B174" s="11">
        <v>2</v>
      </c>
      <c r="C174" s="11" t="s">
        <v>56</v>
      </c>
      <c r="D174" s="11" t="s">
        <v>95</v>
      </c>
      <c r="E174" s="12">
        <v>0.75</v>
      </c>
      <c r="F174" s="13">
        <v>6.1800000000000001E-2</v>
      </c>
      <c r="G174" s="131">
        <v>8.2248036999999996E-2</v>
      </c>
      <c r="H174" s="14">
        <v>0</v>
      </c>
      <c r="I174" s="11" t="s">
        <v>53</v>
      </c>
      <c r="J174" s="129" t="s">
        <v>52</v>
      </c>
      <c r="K174" s="14">
        <v>0</v>
      </c>
      <c r="L174" s="11" t="s">
        <v>52</v>
      </c>
      <c r="M174" s="15" t="s">
        <v>283</v>
      </c>
      <c r="N174" s="15" t="s">
        <v>53</v>
      </c>
      <c r="P174" t="s">
        <v>144</v>
      </c>
      <c r="Q174" t="s">
        <v>143</v>
      </c>
      <c r="R174" s="129">
        <f t="shared" si="13"/>
        <v>54366</v>
      </c>
      <c r="S174" s="3">
        <f t="shared" si="14"/>
        <v>1</v>
      </c>
      <c r="T174" s="3" t="s">
        <v>41</v>
      </c>
      <c r="U174" s="185" t="str">
        <f t="shared" si="12"/>
        <v>N/A</v>
      </c>
    </row>
    <row r="175" spans="1:21" ht="18.75" customHeight="1" x14ac:dyDescent="0.35">
      <c r="A175" s="11">
        <v>54374</v>
      </c>
      <c r="B175" s="11">
        <v>2</v>
      </c>
      <c r="C175" s="11" t="s">
        <v>56</v>
      </c>
      <c r="D175" s="11" t="s">
        <v>95</v>
      </c>
      <c r="E175" s="12">
        <v>1.25</v>
      </c>
      <c r="F175" s="13">
        <v>6.8400000000000002E-2</v>
      </c>
      <c r="G175" s="131">
        <v>8.3414974000000003E-2</v>
      </c>
      <c r="H175" s="14">
        <v>0</v>
      </c>
      <c r="I175" s="11" t="s">
        <v>53</v>
      </c>
      <c r="J175" s="129" t="s">
        <v>52</v>
      </c>
      <c r="K175" s="14">
        <v>0</v>
      </c>
      <c r="L175" s="11" t="s">
        <v>52</v>
      </c>
      <c r="M175" s="15" t="s">
        <v>283</v>
      </c>
      <c r="N175" s="15" t="s">
        <v>53</v>
      </c>
      <c r="P175" t="s">
        <v>144</v>
      </c>
      <c r="Q175" t="s">
        <v>143</v>
      </c>
      <c r="R175" s="129">
        <f t="shared" si="13"/>
        <v>54374</v>
      </c>
      <c r="S175" s="3">
        <f t="shared" si="14"/>
        <v>1</v>
      </c>
      <c r="T175" s="3" t="s">
        <v>41</v>
      </c>
      <c r="U175" s="185" t="str">
        <f t="shared" si="12"/>
        <v>N/A</v>
      </c>
    </row>
    <row r="176" spans="1:21" ht="18.75" customHeight="1" x14ac:dyDescent="0.35">
      <c r="A176" s="11">
        <v>54357</v>
      </c>
      <c r="B176" s="11">
        <v>5</v>
      </c>
      <c r="C176" s="11" t="s">
        <v>56</v>
      </c>
      <c r="D176" s="11" t="s">
        <v>95</v>
      </c>
      <c r="E176" s="12">
        <v>0.6</v>
      </c>
      <c r="F176" s="13">
        <v>4.19E-2</v>
      </c>
      <c r="G176" s="131">
        <v>7.2853292E-2</v>
      </c>
      <c r="H176" s="14">
        <v>999</v>
      </c>
      <c r="I176" s="11" t="s">
        <v>53</v>
      </c>
      <c r="J176" s="129" t="s">
        <v>52</v>
      </c>
      <c r="K176" s="14">
        <v>0</v>
      </c>
      <c r="L176" s="11" t="s">
        <v>52</v>
      </c>
      <c r="M176" s="15" t="s">
        <v>284</v>
      </c>
      <c r="N176" s="15" t="s">
        <v>53</v>
      </c>
      <c r="P176" t="s">
        <v>144</v>
      </c>
      <c r="Q176" t="s">
        <v>143</v>
      </c>
      <c r="R176" s="129">
        <f t="shared" si="13"/>
        <v>54357</v>
      </c>
      <c r="S176" s="3">
        <f t="shared" si="14"/>
        <v>1</v>
      </c>
      <c r="T176" s="3" t="s">
        <v>41</v>
      </c>
      <c r="U176" s="185" t="str">
        <f t="shared" si="12"/>
        <v>N/A</v>
      </c>
    </row>
    <row r="177" spans="1:21" ht="18.75" customHeight="1" x14ac:dyDescent="0.35">
      <c r="A177" s="11">
        <v>54371</v>
      </c>
      <c r="B177" s="11">
        <v>5</v>
      </c>
      <c r="C177" s="11" t="s">
        <v>56</v>
      </c>
      <c r="D177" s="11" t="s">
        <v>95</v>
      </c>
      <c r="E177" s="12">
        <v>0.6</v>
      </c>
      <c r="F177" s="13">
        <v>4.3799999999999999E-2</v>
      </c>
      <c r="G177" s="131">
        <v>7.2824945000000002E-2</v>
      </c>
      <c r="H177" s="14">
        <v>0</v>
      </c>
      <c r="I177" s="11" t="s">
        <v>53</v>
      </c>
      <c r="J177" s="129" t="s">
        <v>52</v>
      </c>
      <c r="K177" s="14">
        <v>0</v>
      </c>
      <c r="L177" s="11" t="s">
        <v>52</v>
      </c>
      <c r="M177" s="15" t="s">
        <v>284</v>
      </c>
      <c r="N177" s="15" t="s">
        <v>53</v>
      </c>
      <c r="P177" t="s">
        <v>144</v>
      </c>
      <c r="Q177" t="s">
        <v>143</v>
      </c>
      <c r="R177" s="129">
        <f t="shared" si="13"/>
        <v>54371</v>
      </c>
      <c r="S177" s="3">
        <f t="shared" si="14"/>
        <v>1</v>
      </c>
      <c r="T177" s="3" t="s">
        <v>41</v>
      </c>
      <c r="U177" s="185" t="str">
        <f t="shared" si="12"/>
        <v>N/A</v>
      </c>
    </row>
    <row r="178" spans="1:21" ht="18.75" customHeight="1" x14ac:dyDescent="0.35">
      <c r="A178" s="11">
        <v>54356</v>
      </c>
      <c r="B178" s="11">
        <v>5</v>
      </c>
      <c r="C178" s="11" t="s">
        <v>56</v>
      </c>
      <c r="D178" s="11" t="s">
        <v>95</v>
      </c>
      <c r="E178" s="12">
        <v>0.75</v>
      </c>
      <c r="F178" s="13">
        <v>5.4600000000000003E-2</v>
      </c>
      <c r="G178" s="131">
        <v>7.7411056000000006E-2</v>
      </c>
      <c r="H178" s="14">
        <v>999</v>
      </c>
      <c r="I178" s="11" t="s">
        <v>53</v>
      </c>
      <c r="J178" s="129" t="s">
        <v>52</v>
      </c>
      <c r="K178" s="14">
        <v>0</v>
      </c>
      <c r="L178" s="11" t="s">
        <v>52</v>
      </c>
      <c r="M178" s="15" t="s">
        <v>284</v>
      </c>
      <c r="N178" s="15" t="s">
        <v>53</v>
      </c>
      <c r="P178" t="s">
        <v>144</v>
      </c>
      <c r="Q178" t="s">
        <v>143</v>
      </c>
      <c r="R178" s="129">
        <f t="shared" si="13"/>
        <v>54356</v>
      </c>
      <c r="S178" s="3">
        <f t="shared" si="14"/>
        <v>1</v>
      </c>
      <c r="T178" s="3" t="s">
        <v>41</v>
      </c>
      <c r="U178" s="185" t="str">
        <f t="shared" si="12"/>
        <v>N/A</v>
      </c>
    </row>
    <row r="179" spans="1:21" ht="18.75" customHeight="1" x14ac:dyDescent="0.35">
      <c r="A179" s="11">
        <v>54359</v>
      </c>
      <c r="B179" s="11">
        <v>5</v>
      </c>
      <c r="C179" s="11" t="s">
        <v>56</v>
      </c>
      <c r="D179" s="11" t="s">
        <v>95</v>
      </c>
      <c r="E179" s="12">
        <v>0.75</v>
      </c>
      <c r="F179" s="13">
        <v>5.57E-2</v>
      </c>
      <c r="G179" s="131">
        <v>7.7078738999999993E-2</v>
      </c>
      <c r="H179" s="14">
        <v>0</v>
      </c>
      <c r="I179" s="11" t="s">
        <v>53</v>
      </c>
      <c r="J179" s="129" t="s">
        <v>52</v>
      </c>
      <c r="K179" s="14">
        <v>0</v>
      </c>
      <c r="L179" s="11" t="s">
        <v>52</v>
      </c>
      <c r="M179" s="15" t="s">
        <v>284</v>
      </c>
      <c r="N179" s="15" t="s">
        <v>53</v>
      </c>
      <c r="P179" t="s">
        <v>144</v>
      </c>
      <c r="Q179" t="s">
        <v>143</v>
      </c>
      <c r="R179" s="129">
        <f t="shared" si="13"/>
        <v>54359</v>
      </c>
      <c r="S179" s="3">
        <f t="shared" si="14"/>
        <v>1</v>
      </c>
      <c r="T179" s="3" t="s">
        <v>41</v>
      </c>
      <c r="U179" s="185" t="str">
        <f t="shared" si="12"/>
        <v>N/A</v>
      </c>
    </row>
    <row r="180" spans="1:21" ht="18.75" customHeight="1" x14ac:dyDescent="0.35">
      <c r="A180" s="11"/>
      <c r="B180" s="11"/>
      <c r="C180" s="11"/>
      <c r="D180" s="11"/>
      <c r="E180" s="12"/>
      <c r="F180" s="13"/>
      <c r="G180" s="131"/>
      <c r="H180" s="14"/>
      <c r="I180" s="11"/>
      <c r="J180" s="129"/>
      <c r="K180" s="14"/>
      <c r="L180" s="11"/>
      <c r="M180" s="15"/>
      <c r="N180" s="15"/>
      <c r="P180" t="s">
        <v>144</v>
      </c>
      <c r="Q180" t="s">
        <v>143</v>
      </c>
      <c r="R180" s="129" t="str">
        <f t="shared" si="13"/>
        <v/>
      </c>
      <c r="S180" s="3">
        <f t="shared" si="14"/>
        <v>1</v>
      </c>
      <c r="T180" s="3" t="s">
        <v>41</v>
      </c>
      <c r="U180" s="185" t="str">
        <f t="shared" si="12"/>
        <v>N/A</v>
      </c>
    </row>
    <row r="181" spans="1:21" ht="18.75" customHeight="1" x14ac:dyDescent="0.35">
      <c r="A181" s="11"/>
      <c r="B181" s="11"/>
      <c r="C181" s="11"/>
      <c r="D181" s="11"/>
      <c r="E181" s="12"/>
      <c r="F181" s="13"/>
      <c r="G181" s="13"/>
      <c r="H181" s="14"/>
      <c r="I181" s="11"/>
      <c r="J181" s="129" t="str">
        <f t="shared" ref="J181:J209" si="15">IF(A181="","","Yes")</f>
        <v/>
      </c>
      <c r="K181" s="14"/>
      <c r="L181" s="11"/>
      <c r="M181" s="15"/>
      <c r="N181" s="15"/>
      <c r="P181" t="s">
        <v>144</v>
      </c>
      <c r="Q181" t="s">
        <v>143</v>
      </c>
      <c r="R181" s="129" t="str">
        <f t="shared" si="13"/>
        <v/>
      </c>
      <c r="S181" s="3">
        <f t="shared" si="14"/>
        <v>1</v>
      </c>
      <c r="T181" s="3" t="s">
        <v>41</v>
      </c>
      <c r="U181" s="185" t="str">
        <f t="shared" si="12"/>
        <v>N/A</v>
      </c>
    </row>
    <row r="182" spans="1:21" ht="18.75" customHeight="1" x14ac:dyDescent="0.35">
      <c r="A182" s="11"/>
      <c r="B182" s="11"/>
      <c r="C182" s="11"/>
      <c r="D182" s="11"/>
      <c r="E182" s="12"/>
      <c r="F182" s="13"/>
      <c r="G182" s="13"/>
      <c r="H182" s="14"/>
      <c r="I182" s="11"/>
      <c r="J182" s="129" t="str">
        <f t="shared" si="15"/>
        <v/>
      </c>
      <c r="K182" s="14"/>
      <c r="L182" s="11"/>
      <c r="M182" s="15"/>
      <c r="N182" s="15"/>
      <c r="P182" t="s">
        <v>144</v>
      </c>
      <c r="Q182" t="s">
        <v>143</v>
      </c>
      <c r="R182" s="129" t="str">
        <f t="shared" si="13"/>
        <v/>
      </c>
      <c r="S182" s="3">
        <f t="shared" si="14"/>
        <v>1</v>
      </c>
      <c r="T182" s="3" t="s">
        <v>41</v>
      </c>
      <c r="U182" s="185" t="str">
        <f t="shared" si="12"/>
        <v>N/A</v>
      </c>
    </row>
    <row r="183" spans="1:21" ht="18.75" customHeight="1" x14ac:dyDescent="0.35">
      <c r="A183" s="11"/>
      <c r="B183" s="11"/>
      <c r="C183" s="11"/>
      <c r="D183" s="11"/>
      <c r="E183" s="12"/>
      <c r="F183" s="13"/>
      <c r="G183" s="13"/>
      <c r="H183" s="14"/>
      <c r="I183" s="11"/>
      <c r="J183" s="129" t="str">
        <f t="shared" si="15"/>
        <v/>
      </c>
      <c r="K183" s="14"/>
      <c r="L183" s="11"/>
      <c r="M183" s="15"/>
      <c r="N183" s="15"/>
      <c r="P183" t="s">
        <v>144</v>
      </c>
      <c r="Q183" t="s">
        <v>143</v>
      </c>
      <c r="R183" s="129" t="str">
        <f t="shared" si="13"/>
        <v/>
      </c>
      <c r="S183" s="3">
        <f t="shared" si="14"/>
        <v>1</v>
      </c>
      <c r="T183" s="3" t="s">
        <v>41</v>
      </c>
      <c r="U183" s="185" t="str">
        <f t="shared" si="12"/>
        <v>N/A</v>
      </c>
    </row>
    <row r="184" spans="1:21" ht="18.75" customHeight="1" x14ac:dyDescent="0.35">
      <c r="A184" s="11"/>
      <c r="B184" s="11"/>
      <c r="C184" s="11"/>
      <c r="D184" s="11"/>
      <c r="E184" s="12"/>
      <c r="F184" s="13"/>
      <c r="G184" s="13"/>
      <c r="H184" s="14"/>
      <c r="I184" s="11"/>
      <c r="J184" s="129" t="str">
        <f t="shared" si="15"/>
        <v/>
      </c>
      <c r="K184" s="14"/>
      <c r="L184" s="11"/>
      <c r="M184" s="15"/>
      <c r="N184" s="15"/>
      <c r="P184" t="s">
        <v>144</v>
      </c>
      <c r="Q184" t="s">
        <v>143</v>
      </c>
      <c r="R184" s="129" t="str">
        <f t="shared" si="13"/>
        <v/>
      </c>
      <c r="S184" s="3">
        <f t="shared" si="14"/>
        <v>1</v>
      </c>
      <c r="T184" s="3" t="s">
        <v>41</v>
      </c>
      <c r="U184" s="185" t="str">
        <f t="shared" si="12"/>
        <v>N/A</v>
      </c>
    </row>
    <row r="185" spans="1:21" ht="18.75" customHeight="1" x14ac:dyDescent="0.35">
      <c r="A185" s="11"/>
      <c r="B185" s="11"/>
      <c r="C185" s="11"/>
      <c r="D185" s="11"/>
      <c r="E185" s="12"/>
      <c r="F185" s="13"/>
      <c r="G185" s="13"/>
      <c r="H185" s="14"/>
      <c r="I185" s="11"/>
      <c r="J185" s="129" t="str">
        <f t="shared" si="15"/>
        <v/>
      </c>
      <c r="K185" s="14"/>
      <c r="L185" s="11"/>
      <c r="M185" s="15"/>
      <c r="N185" s="15"/>
      <c r="P185" t="s">
        <v>144</v>
      </c>
      <c r="Q185" t="s">
        <v>143</v>
      </c>
      <c r="R185" s="129" t="str">
        <f t="shared" si="13"/>
        <v/>
      </c>
      <c r="S185" s="3">
        <f t="shared" si="14"/>
        <v>1</v>
      </c>
      <c r="T185" s="3" t="s">
        <v>41</v>
      </c>
      <c r="U185" s="185" t="str">
        <f t="shared" si="12"/>
        <v>N/A</v>
      </c>
    </row>
    <row r="186" spans="1:21" ht="18.75" customHeight="1" x14ac:dyDescent="0.35">
      <c r="A186" s="11"/>
      <c r="B186" s="11"/>
      <c r="C186" s="11"/>
      <c r="D186" s="11"/>
      <c r="E186" s="12"/>
      <c r="F186" s="13"/>
      <c r="G186" s="13"/>
      <c r="H186" s="14"/>
      <c r="I186" s="11"/>
      <c r="J186" s="129" t="str">
        <f t="shared" si="15"/>
        <v/>
      </c>
      <c r="K186" s="14"/>
      <c r="L186" s="11"/>
      <c r="M186" s="15"/>
      <c r="N186" s="15"/>
      <c r="P186" t="s">
        <v>144</v>
      </c>
      <c r="Q186" t="s">
        <v>143</v>
      </c>
      <c r="R186" s="129" t="str">
        <f t="shared" si="13"/>
        <v/>
      </c>
      <c r="S186" s="3">
        <f t="shared" si="14"/>
        <v>1</v>
      </c>
      <c r="T186" s="3" t="s">
        <v>41</v>
      </c>
      <c r="U186" s="185" t="str">
        <f t="shared" si="12"/>
        <v>N/A</v>
      </c>
    </row>
    <row r="187" spans="1:21" ht="18.75" customHeight="1" x14ac:dyDescent="0.35">
      <c r="A187" s="11"/>
      <c r="B187" s="11"/>
      <c r="C187" s="11"/>
      <c r="D187" s="11"/>
      <c r="E187" s="12"/>
      <c r="F187" s="13"/>
      <c r="G187" s="13"/>
      <c r="H187" s="14"/>
      <c r="I187" s="11"/>
      <c r="J187" s="129" t="str">
        <f t="shared" si="15"/>
        <v/>
      </c>
      <c r="K187" s="14"/>
      <c r="L187" s="11"/>
      <c r="M187" s="15"/>
      <c r="N187" s="15"/>
      <c r="P187" t="s">
        <v>144</v>
      </c>
      <c r="Q187" t="s">
        <v>143</v>
      </c>
      <c r="R187" s="129" t="str">
        <f t="shared" si="13"/>
        <v/>
      </c>
      <c r="S187" s="3">
        <f t="shared" si="14"/>
        <v>1</v>
      </c>
      <c r="T187" s="3" t="s">
        <v>41</v>
      </c>
      <c r="U187" s="185" t="str">
        <f t="shared" si="12"/>
        <v>N/A</v>
      </c>
    </row>
    <row r="188" spans="1:21" ht="18.75" customHeight="1" x14ac:dyDescent="0.35">
      <c r="A188" s="11"/>
      <c r="B188" s="11"/>
      <c r="C188" s="11"/>
      <c r="D188" s="11"/>
      <c r="E188" s="12"/>
      <c r="F188" s="13"/>
      <c r="G188" s="13"/>
      <c r="H188" s="14"/>
      <c r="I188" s="11"/>
      <c r="J188" s="129" t="str">
        <f t="shared" si="15"/>
        <v/>
      </c>
      <c r="K188" s="14"/>
      <c r="L188" s="11"/>
      <c r="M188" s="15"/>
      <c r="N188" s="15"/>
      <c r="P188" t="s">
        <v>144</v>
      </c>
      <c r="Q188" t="s">
        <v>143</v>
      </c>
      <c r="R188" s="129" t="str">
        <f t="shared" si="13"/>
        <v/>
      </c>
      <c r="S188" s="3">
        <f t="shared" si="14"/>
        <v>1</v>
      </c>
      <c r="T188" s="3" t="s">
        <v>41</v>
      </c>
      <c r="U188" s="185" t="str">
        <f t="shared" si="12"/>
        <v>N/A</v>
      </c>
    </row>
    <row r="189" spans="1:21" ht="18.75" customHeight="1" x14ac:dyDescent="0.35">
      <c r="A189" s="11"/>
      <c r="B189" s="11"/>
      <c r="C189" s="11"/>
      <c r="D189" s="11"/>
      <c r="E189" s="12"/>
      <c r="F189" s="13"/>
      <c r="G189" s="13"/>
      <c r="H189" s="14"/>
      <c r="I189" s="11"/>
      <c r="J189" s="129" t="str">
        <f t="shared" si="15"/>
        <v/>
      </c>
      <c r="K189" s="14"/>
      <c r="L189" s="11"/>
      <c r="M189" s="15"/>
      <c r="N189" s="15"/>
      <c r="P189" t="s">
        <v>144</v>
      </c>
      <c r="Q189" t="s">
        <v>143</v>
      </c>
      <c r="R189" s="129" t="str">
        <f t="shared" si="13"/>
        <v/>
      </c>
      <c r="S189" s="3">
        <f t="shared" si="14"/>
        <v>1</v>
      </c>
      <c r="T189" s="3" t="s">
        <v>41</v>
      </c>
      <c r="U189" s="185" t="str">
        <f t="shared" si="12"/>
        <v>N/A</v>
      </c>
    </row>
    <row r="190" spans="1:21" ht="18.75" customHeight="1" x14ac:dyDescent="0.35">
      <c r="A190" s="11"/>
      <c r="B190" s="11"/>
      <c r="C190" s="11"/>
      <c r="D190" s="11"/>
      <c r="E190" s="12"/>
      <c r="F190" s="13"/>
      <c r="G190" s="13"/>
      <c r="H190" s="14"/>
      <c r="I190" s="11"/>
      <c r="J190" s="129" t="str">
        <f t="shared" si="15"/>
        <v/>
      </c>
      <c r="K190" s="14"/>
      <c r="L190" s="11"/>
      <c r="M190" s="15"/>
      <c r="N190" s="15"/>
      <c r="P190" t="s">
        <v>144</v>
      </c>
      <c r="Q190" t="s">
        <v>143</v>
      </c>
      <c r="R190" s="129" t="str">
        <f t="shared" si="13"/>
        <v/>
      </c>
      <c r="S190" s="3">
        <f t="shared" si="14"/>
        <v>1</v>
      </c>
      <c r="T190" s="3" t="s">
        <v>41</v>
      </c>
      <c r="U190" s="185" t="str">
        <f t="shared" si="12"/>
        <v>N/A</v>
      </c>
    </row>
    <row r="191" spans="1:21" ht="18.75" customHeight="1" x14ac:dyDescent="0.35">
      <c r="A191" s="11"/>
      <c r="B191" s="11"/>
      <c r="C191" s="11"/>
      <c r="D191" s="11"/>
      <c r="E191" s="12"/>
      <c r="F191" s="13"/>
      <c r="G191" s="13"/>
      <c r="H191" s="14"/>
      <c r="I191" s="11"/>
      <c r="J191" s="129" t="str">
        <f t="shared" si="15"/>
        <v/>
      </c>
      <c r="K191" s="14"/>
      <c r="L191" s="11"/>
      <c r="M191" s="15"/>
      <c r="N191" s="15"/>
      <c r="P191" t="s">
        <v>144</v>
      </c>
      <c r="Q191" t="s">
        <v>143</v>
      </c>
      <c r="R191" s="129" t="str">
        <f t="shared" si="13"/>
        <v/>
      </c>
      <c r="S191" s="3">
        <f t="shared" si="14"/>
        <v>1</v>
      </c>
      <c r="T191" s="3" t="s">
        <v>41</v>
      </c>
      <c r="U191" s="185" t="str">
        <f t="shared" si="12"/>
        <v>N/A</v>
      </c>
    </row>
    <row r="192" spans="1:21" ht="18.75" customHeight="1" x14ac:dyDescent="0.35">
      <c r="A192" s="11"/>
      <c r="B192" s="11"/>
      <c r="C192" s="11"/>
      <c r="D192" s="11"/>
      <c r="E192" s="12"/>
      <c r="F192" s="13"/>
      <c r="G192" s="13"/>
      <c r="H192" s="14"/>
      <c r="I192" s="11"/>
      <c r="J192" s="129" t="str">
        <f t="shared" si="15"/>
        <v/>
      </c>
      <c r="K192" s="14"/>
      <c r="L192" s="11"/>
      <c r="M192" s="15"/>
      <c r="N192" s="15"/>
      <c r="P192" t="s">
        <v>144</v>
      </c>
      <c r="Q192" t="s">
        <v>143</v>
      </c>
      <c r="R192" s="129" t="str">
        <f t="shared" si="13"/>
        <v/>
      </c>
      <c r="S192" s="3">
        <f t="shared" si="14"/>
        <v>1</v>
      </c>
      <c r="T192" s="3" t="s">
        <v>41</v>
      </c>
      <c r="U192" s="185" t="str">
        <f t="shared" si="12"/>
        <v>N/A</v>
      </c>
    </row>
    <row r="193" spans="1:21" ht="18.75" customHeight="1" x14ac:dyDescent="0.35">
      <c r="A193" s="11"/>
      <c r="B193" s="11"/>
      <c r="C193" s="11"/>
      <c r="D193" s="11"/>
      <c r="E193" s="12"/>
      <c r="F193" s="13"/>
      <c r="G193" s="13"/>
      <c r="H193" s="14"/>
      <c r="I193" s="11"/>
      <c r="J193" s="129" t="str">
        <f t="shared" si="15"/>
        <v/>
      </c>
      <c r="K193" s="14"/>
      <c r="L193" s="11"/>
      <c r="M193" s="15"/>
      <c r="N193" s="15"/>
      <c r="P193" t="s">
        <v>144</v>
      </c>
      <c r="Q193" t="s">
        <v>143</v>
      </c>
      <c r="R193" s="129" t="str">
        <f t="shared" si="13"/>
        <v/>
      </c>
      <c r="S193" s="3">
        <f t="shared" si="14"/>
        <v>1</v>
      </c>
      <c r="T193" s="3" t="s">
        <v>41</v>
      </c>
      <c r="U193" s="185" t="str">
        <f t="shared" si="12"/>
        <v>N/A</v>
      </c>
    </row>
    <row r="194" spans="1:21" ht="18.75" customHeight="1" x14ac:dyDescent="0.35">
      <c r="A194" s="11"/>
      <c r="B194" s="11"/>
      <c r="C194" s="11"/>
      <c r="D194" s="11"/>
      <c r="E194" s="12"/>
      <c r="F194" s="13"/>
      <c r="G194" s="13"/>
      <c r="H194" s="14"/>
      <c r="I194" s="11"/>
      <c r="J194" s="129" t="str">
        <f t="shared" si="15"/>
        <v/>
      </c>
      <c r="K194" s="14"/>
      <c r="L194" s="11"/>
      <c r="M194" s="15"/>
      <c r="N194" s="15"/>
      <c r="P194" t="s">
        <v>144</v>
      </c>
      <c r="Q194" t="s">
        <v>143</v>
      </c>
      <c r="R194" s="129" t="str">
        <f t="shared" si="13"/>
        <v/>
      </c>
      <c r="S194" s="3">
        <f t="shared" si="14"/>
        <v>1</v>
      </c>
      <c r="T194" s="3" t="s">
        <v>41</v>
      </c>
      <c r="U194" s="185" t="str">
        <f t="shared" si="12"/>
        <v>N/A</v>
      </c>
    </row>
    <row r="195" spans="1:21" ht="18.75" customHeight="1" x14ac:dyDescent="0.35">
      <c r="A195" s="11"/>
      <c r="B195" s="11"/>
      <c r="C195" s="11"/>
      <c r="D195" s="11"/>
      <c r="E195" s="12"/>
      <c r="F195" s="13"/>
      <c r="G195" s="13"/>
      <c r="H195" s="14"/>
      <c r="I195" s="11"/>
      <c r="J195" s="129" t="str">
        <f t="shared" si="15"/>
        <v/>
      </c>
      <c r="K195" s="14"/>
      <c r="L195" s="11"/>
      <c r="M195" s="15"/>
      <c r="N195" s="15"/>
      <c r="P195" t="s">
        <v>144</v>
      </c>
      <c r="Q195" t="s">
        <v>143</v>
      </c>
      <c r="R195" s="129" t="str">
        <f t="shared" si="13"/>
        <v/>
      </c>
      <c r="S195" s="3">
        <f t="shared" si="14"/>
        <v>1</v>
      </c>
      <c r="T195" s="3" t="s">
        <v>41</v>
      </c>
      <c r="U195" s="185" t="str">
        <f t="shared" si="12"/>
        <v>N/A</v>
      </c>
    </row>
    <row r="196" spans="1:21" ht="18.75" customHeight="1" x14ac:dyDescent="0.35">
      <c r="A196" s="11"/>
      <c r="B196" s="11"/>
      <c r="C196" s="11"/>
      <c r="D196" s="11"/>
      <c r="E196" s="12"/>
      <c r="F196" s="13"/>
      <c r="G196" s="13"/>
      <c r="H196" s="14"/>
      <c r="I196" s="11"/>
      <c r="J196" s="129" t="str">
        <f t="shared" si="15"/>
        <v/>
      </c>
      <c r="K196" s="14"/>
      <c r="L196" s="11"/>
      <c r="M196" s="15"/>
      <c r="N196" s="15"/>
      <c r="P196" t="s">
        <v>144</v>
      </c>
      <c r="Q196" t="s">
        <v>143</v>
      </c>
      <c r="R196" s="129" t="str">
        <f t="shared" si="13"/>
        <v/>
      </c>
      <c r="S196" s="3">
        <f t="shared" si="14"/>
        <v>1</v>
      </c>
      <c r="T196" s="3" t="s">
        <v>41</v>
      </c>
      <c r="U196" s="185" t="str">
        <f t="shared" si="12"/>
        <v>N/A</v>
      </c>
    </row>
    <row r="197" spans="1:21" ht="18.75" customHeight="1" x14ac:dyDescent="0.35">
      <c r="A197" s="11"/>
      <c r="B197" s="11"/>
      <c r="C197" s="11"/>
      <c r="D197" s="11"/>
      <c r="E197" s="12"/>
      <c r="F197" s="13"/>
      <c r="G197" s="13"/>
      <c r="H197" s="14"/>
      <c r="I197" s="11"/>
      <c r="J197" s="129" t="str">
        <f t="shared" si="15"/>
        <v/>
      </c>
      <c r="K197" s="14"/>
      <c r="L197" s="11"/>
      <c r="M197" s="15"/>
      <c r="N197" s="15"/>
      <c r="P197" t="s">
        <v>144</v>
      </c>
      <c r="Q197" t="s">
        <v>143</v>
      </c>
      <c r="R197" s="129" t="str">
        <f t="shared" si="13"/>
        <v/>
      </c>
      <c r="S197" s="3">
        <f t="shared" si="14"/>
        <v>1</v>
      </c>
      <c r="T197" s="3" t="s">
        <v>41</v>
      </c>
      <c r="U197" s="185" t="str">
        <f t="shared" si="12"/>
        <v>N/A</v>
      </c>
    </row>
    <row r="198" spans="1:21" ht="18.75" customHeight="1" x14ac:dyDescent="0.35">
      <c r="A198" s="11"/>
      <c r="B198" s="11"/>
      <c r="C198" s="11"/>
      <c r="D198" s="11"/>
      <c r="E198" s="12"/>
      <c r="F198" s="13"/>
      <c r="G198" s="13"/>
      <c r="H198" s="14"/>
      <c r="I198" s="11"/>
      <c r="J198" s="129" t="str">
        <f t="shared" si="15"/>
        <v/>
      </c>
      <c r="K198" s="14"/>
      <c r="L198" s="11"/>
      <c r="M198" s="15"/>
      <c r="N198" s="15"/>
      <c r="P198" t="s">
        <v>144</v>
      </c>
      <c r="Q198" t="s">
        <v>143</v>
      </c>
      <c r="R198" s="129" t="str">
        <f t="shared" si="13"/>
        <v/>
      </c>
      <c r="S198" s="3">
        <f t="shared" si="14"/>
        <v>1</v>
      </c>
      <c r="T198" s="3" t="s">
        <v>41</v>
      </c>
      <c r="U198" s="185" t="str">
        <f t="shared" si="12"/>
        <v>N/A</v>
      </c>
    </row>
    <row r="199" spans="1:21" ht="18.75" customHeight="1" x14ac:dyDescent="0.35">
      <c r="A199" s="11"/>
      <c r="B199" s="11"/>
      <c r="C199" s="11"/>
      <c r="D199" s="11"/>
      <c r="E199" s="12"/>
      <c r="F199" s="13"/>
      <c r="G199" s="13"/>
      <c r="H199" s="14"/>
      <c r="I199" s="11"/>
      <c r="J199" s="129" t="str">
        <f t="shared" si="15"/>
        <v/>
      </c>
      <c r="K199" s="14"/>
      <c r="L199" s="11"/>
      <c r="M199" s="15"/>
      <c r="N199" s="15"/>
      <c r="P199" t="s">
        <v>144</v>
      </c>
      <c r="Q199" t="s">
        <v>143</v>
      </c>
      <c r="R199" s="129" t="str">
        <f t="shared" si="13"/>
        <v/>
      </c>
      <c r="S199" s="3">
        <f t="shared" si="14"/>
        <v>1</v>
      </c>
      <c r="T199" s="3" t="s">
        <v>41</v>
      </c>
      <c r="U199" s="185" t="str">
        <f t="shared" si="12"/>
        <v>N/A</v>
      </c>
    </row>
    <row r="200" spans="1:21" ht="18.75" customHeight="1" x14ac:dyDescent="0.35">
      <c r="A200" s="11"/>
      <c r="B200" s="11"/>
      <c r="C200" s="11"/>
      <c r="D200" s="11"/>
      <c r="E200" s="12"/>
      <c r="F200" s="13"/>
      <c r="G200" s="13"/>
      <c r="H200" s="14"/>
      <c r="I200" s="11"/>
      <c r="J200" s="129" t="str">
        <f t="shared" si="15"/>
        <v/>
      </c>
      <c r="K200" s="14"/>
      <c r="L200" s="11"/>
      <c r="M200" s="15"/>
      <c r="N200" s="15"/>
      <c r="P200" t="s">
        <v>144</v>
      </c>
      <c r="Q200" t="s">
        <v>143</v>
      </c>
      <c r="R200" s="129" t="str">
        <f t="shared" si="13"/>
        <v/>
      </c>
      <c r="S200" s="3">
        <f t="shared" si="14"/>
        <v>1</v>
      </c>
      <c r="T200" s="3" t="s">
        <v>41</v>
      </c>
      <c r="U200" s="185" t="str">
        <f t="shared" si="12"/>
        <v>N/A</v>
      </c>
    </row>
    <row r="201" spans="1:21" ht="18.75" customHeight="1" x14ac:dyDescent="0.35">
      <c r="A201" s="11"/>
      <c r="B201" s="11"/>
      <c r="C201" s="11"/>
      <c r="D201" s="11"/>
      <c r="E201" s="12"/>
      <c r="F201" s="13"/>
      <c r="G201" s="13"/>
      <c r="H201" s="14"/>
      <c r="I201" s="11"/>
      <c r="J201" s="129" t="str">
        <f t="shared" si="15"/>
        <v/>
      </c>
      <c r="K201" s="14"/>
      <c r="L201" s="11"/>
      <c r="M201" s="15"/>
      <c r="N201" s="15"/>
      <c r="P201" t="s">
        <v>144</v>
      </c>
      <c r="Q201" t="s">
        <v>143</v>
      </c>
      <c r="R201" s="129" t="str">
        <f t="shared" si="13"/>
        <v/>
      </c>
      <c r="S201" s="3">
        <f t="shared" si="14"/>
        <v>1</v>
      </c>
      <c r="T201" s="3" t="s">
        <v>41</v>
      </c>
      <c r="U201" s="185" t="str">
        <f t="shared" si="12"/>
        <v>N/A</v>
      </c>
    </row>
    <row r="202" spans="1:21" ht="18.75" customHeight="1" x14ac:dyDescent="0.35">
      <c r="A202" s="11"/>
      <c r="B202" s="11"/>
      <c r="C202" s="11"/>
      <c r="D202" s="11"/>
      <c r="E202" s="12"/>
      <c r="F202" s="13"/>
      <c r="G202" s="13"/>
      <c r="H202" s="14"/>
      <c r="I202" s="11"/>
      <c r="J202" s="129" t="str">
        <f t="shared" si="15"/>
        <v/>
      </c>
      <c r="K202" s="14"/>
      <c r="L202" s="11"/>
      <c r="M202" s="15"/>
      <c r="N202" s="15"/>
      <c r="P202" t="s">
        <v>144</v>
      </c>
      <c r="Q202" t="s">
        <v>143</v>
      </c>
      <c r="R202" s="129" t="str">
        <f t="shared" si="13"/>
        <v/>
      </c>
      <c r="S202" s="3">
        <f t="shared" si="14"/>
        <v>1</v>
      </c>
      <c r="T202" s="3" t="s">
        <v>41</v>
      </c>
      <c r="U202" s="185" t="str">
        <f t="shared" si="12"/>
        <v>N/A</v>
      </c>
    </row>
    <row r="203" spans="1:21" ht="18.75" customHeight="1" x14ac:dyDescent="0.35">
      <c r="A203" s="11"/>
      <c r="B203" s="11"/>
      <c r="C203" s="11"/>
      <c r="D203" s="11"/>
      <c r="E203" s="12"/>
      <c r="F203" s="13"/>
      <c r="G203" s="13"/>
      <c r="H203" s="14"/>
      <c r="I203" s="11"/>
      <c r="J203" s="129" t="str">
        <f t="shared" si="15"/>
        <v/>
      </c>
      <c r="K203" s="14"/>
      <c r="L203" s="11"/>
      <c r="M203" s="15"/>
      <c r="N203" s="15"/>
      <c r="P203" t="s">
        <v>144</v>
      </c>
      <c r="Q203" t="s">
        <v>143</v>
      </c>
      <c r="R203" s="129" t="str">
        <f t="shared" si="13"/>
        <v/>
      </c>
      <c r="S203" s="3">
        <f t="shared" si="14"/>
        <v>1</v>
      </c>
      <c r="T203" s="3" t="s">
        <v>41</v>
      </c>
      <c r="U203" s="185" t="str">
        <f t="shared" si="12"/>
        <v>N/A</v>
      </c>
    </row>
    <row r="204" spans="1:21" ht="18.75" customHeight="1" x14ac:dyDescent="0.35">
      <c r="A204" s="11"/>
      <c r="B204" s="11"/>
      <c r="C204" s="11"/>
      <c r="D204" s="11"/>
      <c r="E204" s="12"/>
      <c r="F204" s="13"/>
      <c r="G204" s="13"/>
      <c r="H204" s="14"/>
      <c r="I204" s="11"/>
      <c r="J204" s="129" t="str">
        <f t="shared" si="15"/>
        <v/>
      </c>
      <c r="K204" s="14"/>
      <c r="L204" s="11"/>
      <c r="M204" s="15"/>
      <c r="N204" s="15"/>
      <c r="P204" t="s">
        <v>144</v>
      </c>
      <c r="Q204" t="s">
        <v>143</v>
      </c>
      <c r="R204" s="129" t="str">
        <f t="shared" si="13"/>
        <v/>
      </c>
      <c r="S204" s="3">
        <f t="shared" si="14"/>
        <v>1</v>
      </c>
      <c r="T204" s="3" t="s">
        <v>41</v>
      </c>
      <c r="U204" s="185" t="str">
        <f t="shared" si="12"/>
        <v>N/A</v>
      </c>
    </row>
    <row r="205" spans="1:21" ht="18.75" customHeight="1" x14ac:dyDescent="0.35">
      <c r="A205" s="11"/>
      <c r="B205" s="11"/>
      <c r="C205" s="11"/>
      <c r="D205" s="11"/>
      <c r="E205" s="12"/>
      <c r="F205" s="13"/>
      <c r="G205" s="13"/>
      <c r="H205" s="14"/>
      <c r="I205" s="11"/>
      <c r="J205" s="129" t="str">
        <f t="shared" si="15"/>
        <v/>
      </c>
      <c r="K205" s="14"/>
      <c r="L205" s="11"/>
      <c r="M205" s="15"/>
      <c r="N205" s="15"/>
      <c r="P205" t="s">
        <v>144</v>
      </c>
      <c r="Q205" t="s">
        <v>143</v>
      </c>
      <c r="R205" s="129" t="str">
        <f t="shared" si="13"/>
        <v/>
      </c>
      <c r="S205" s="3">
        <f t="shared" si="14"/>
        <v>1</v>
      </c>
      <c r="T205" s="3" t="s">
        <v>41</v>
      </c>
      <c r="U205" s="185" t="str">
        <f t="shared" si="12"/>
        <v>N/A</v>
      </c>
    </row>
    <row r="206" spans="1:21" ht="18.75" customHeight="1" x14ac:dyDescent="0.35">
      <c r="A206" s="11"/>
      <c r="B206" s="11"/>
      <c r="C206" s="11"/>
      <c r="D206" s="11"/>
      <c r="E206" s="12"/>
      <c r="F206" s="13"/>
      <c r="G206" s="13"/>
      <c r="H206" s="14"/>
      <c r="I206" s="11"/>
      <c r="J206" s="129" t="str">
        <f t="shared" si="15"/>
        <v/>
      </c>
      <c r="K206" s="14"/>
      <c r="L206" s="11"/>
      <c r="M206" s="15"/>
      <c r="N206" s="15"/>
      <c r="P206" t="s">
        <v>144</v>
      </c>
      <c r="Q206" t="s">
        <v>143</v>
      </c>
      <c r="R206" s="129" t="str">
        <f t="shared" si="13"/>
        <v/>
      </c>
      <c r="S206" s="3">
        <f t="shared" si="14"/>
        <v>1</v>
      </c>
      <c r="T206" s="3" t="s">
        <v>41</v>
      </c>
      <c r="U206" s="185" t="str">
        <f t="shared" si="12"/>
        <v>N/A</v>
      </c>
    </row>
    <row r="207" spans="1:21" ht="18.75" customHeight="1" x14ac:dyDescent="0.35">
      <c r="A207" s="11"/>
      <c r="B207" s="11"/>
      <c r="C207" s="11"/>
      <c r="D207" s="11"/>
      <c r="E207" s="12"/>
      <c r="F207" s="13"/>
      <c r="G207" s="13"/>
      <c r="H207" s="14"/>
      <c r="I207" s="11"/>
      <c r="J207" s="129" t="str">
        <f t="shared" si="15"/>
        <v/>
      </c>
      <c r="K207" s="14"/>
      <c r="L207" s="11"/>
      <c r="M207" s="15"/>
      <c r="N207" s="15"/>
      <c r="P207" t="s">
        <v>144</v>
      </c>
      <c r="Q207" t="s">
        <v>143</v>
      </c>
      <c r="R207" s="129" t="str">
        <f t="shared" si="13"/>
        <v/>
      </c>
      <c r="S207" s="3">
        <f t="shared" si="14"/>
        <v>1</v>
      </c>
      <c r="T207" s="3" t="s">
        <v>41</v>
      </c>
      <c r="U207" s="185" t="str">
        <f t="shared" si="12"/>
        <v>N/A</v>
      </c>
    </row>
    <row r="208" spans="1:21" ht="18.75" customHeight="1" x14ac:dyDescent="0.35">
      <c r="A208" s="11"/>
      <c r="B208" s="11"/>
      <c r="C208" s="11"/>
      <c r="D208" s="11"/>
      <c r="E208" s="12"/>
      <c r="F208" s="13"/>
      <c r="G208" s="13"/>
      <c r="H208" s="14"/>
      <c r="I208" s="11"/>
      <c r="J208" s="129" t="str">
        <f t="shared" si="15"/>
        <v/>
      </c>
      <c r="K208" s="14"/>
      <c r="L208" s="11"/>
      <c r="M208" s="15"/>
      <c r="N208" s="15"/>
      <c r="P208" t="s">
        <v>144</v>
      </c>
      <c r="Q208" t="s">
        <v>143</v>
      </c>
      <c r="R208" s="129" t="str">
        <f t="shared" si="13"/>
        <v/>
      </c>
      <c r="S208" s="3">
        <f t="shared" si="14"/>
        <v>1</v>
      </c>
      <c r="T208" s="3" t="s">
        <v>41</v>
      </c>
      <c r="U208" s="185" t="str">
        <f t="shared" si="12"/>
        <v>N/A</v>
      </c>
    </row>
    <row r="209" spans="1:21" ht="18.75" customHeight="1" x14ac:dyDescent="0.35">
      <c r="A209" s="11"/>
      <c r="B209" s="11"/>
      <c r="C209" s="11"/>
      <c r="D209" s="11"/>
      <c r="E209" s="12"/>
      <c r="F209" s="13"/>
      <c r="G209" s="13"/>
      <c r="H209" s="14"/>
      <c r="I209" s="11"/>
      <c r="J209" s="129" t="str">
        <f t="shared" si="15"/>
        <v/>
      </c>
      <c r="K209" s="14"/>
      <c r="L209" s="11"/>
      <c r="M209" s="15"/>
      <c r="N209" s="15"/>
      <c r="P209" t="s">
        <v>144</v>
      </c>
      <c r="Q209" t="s">
        <v>143</v>
      </c>
      <c r="R209" s="129" t="str">
        <f t="shared" si="13"/>
        <v/>
      </c>
      <c r="S209" s="3">
        <f t="shared" si="14"/>
        <v>1</v>
      </c>
      <c r="T209" s="3" t="s">
        <v>41</v>
      </c>
      <c r="U209" s="185" t="str">
        <f t="shared" si="12"/>
        <v>N/A</v>
      </c>
    </row>
    <row r="210" spans="1:21" ht="18.75" customHeight="1" x14ac:dyDescent="0.35">
      <c r="A210" s="246" t="s">
        <v>42</v>
      </c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8"/>
      <c r="P210" s="186" t="s">
        <v>145</v>
      </c>
      <c r="Q210" t="s">
        <v>143</v>
      </c>
      <c r="S210" s="3">
        <f t="shared" si="14"/>
        <v>1</v>
      </c>
      <c r="T210" s="3" t="s">
        <v>38</v>
      </c>
      <c r="U210" s="185" t="str">
        <f t="shared" si="12"/>
        <v>N/A</v>
      </c>
    </row>
    <row r="211" spans="1:21" ht="18.75" customHeight="1" x14ac:dyDescent="0.35">
      <c r="A211" s="11">
        <v>54299</v>
      </c>
      <c r="B211" s="11">
        <v>2</v>
      </c>
      <c r="C211" s="11" t="s">
        <v>56</v>
      </c>
      <c r="D211" s="11" t="s">
        <v>95</v>
      </c>
      <c r="E211" s="12">
        <v>0.6</v>
      </c>
      <c r="F211" s="13">
        <v>5.5899999999999998E-2</v>
      </c>
      <c r="G211" s="131">
        <v>8.1222053000000002E-2</v>
      </c>
      <c r="H211" s="14">
        <v>0</v>
      </c>
      <c r="I211" s="11" t="s">
        <v>53</v>
      </c>
      <c r="J211" s="129" t="s">
        <v>52</v>
      </c>
      <c r="K211" s="14">
        <v>0</v>
      </c>
      <c r="L211" s="11" t="s">
        <v>52</v>
      </c>
      <c r="M211" s="15" t="s">
        <v>283</v>
      </c>
      <c r="N211" s="129" t="s">
        <v>53</v>
      </c>
      <c r="P211" s="186" t="s">
        <v>145</v>
      </c>
      <c r="Q211" t="s">
        <v>143</v>
      </c>
      <c r="R211" s="129">
        <f t="shared" ref="R211:R230" si="16">IF(A211="","",A211)</f>
        <v>54299</v>
      </c>
      <c r="S211" s="3">
        <f t="shared" si="14"/>
        <v>1</v>
      </c>
      <c r="T211" s="3" t="s">
        <v>38</v>
      </c>
      <c r="U211" s="185" t="str">
        <f t="shared" si="12"/>
        <v>N/A</v>
      </c>
    </row>
    <row r="212" spans="1:21" ht="18.75" customHeight="1" x14ac:dyDescent="0.35">
      <c r="A212" s="11">
        <v>54301</v>
      </c>
      <c r="B212" s="11">
        <v>2</v>
      </c>
      <c r="C212" s="11" t="s">
        <v>56</v>
      </c>
      <c r="D212" s="11" t="s">
        <v>95</v>
      </c>
      <c r="E212" s="12">
        <v>0.75</v>
      </c>
      <c r="F212" s="13">
        <v>6.7000000000000004E-2</v>
      </c>
      <c r="G212" s="131">
        <v>8.3165947000000004E-2</v>
      </c>
      <c r="H212" s="14">
        <v>0</v>
      </c>
      <c r="I212" s="11" t="s">
        <v>53</v>
      </c>
      <c r="J212" s="129" t="s">
        <v>52</v>
      </c>
      <c r="K212" s="14">
        <v>0</v>
      </c>
      <c r="L212" s="11" t="s">
        <v>52</v>
      </c>
      <c r="M212" s="15" t="s">
        <v>283</v>
      </c>
      <c r="N212" s="15" t="s">
        <v>53</v>
      </c>
      <c r="P212" s="186" t="s">
        <v>145</v>
      </c>
      <c r="Q212" t="s">
        <v>143</v>
      </c>
      <c r="R212" s="129">
        <f t="shared" si="16"/>
        <v>54301</v>
      </c>
      <c r="S212" s="3">
        <f t="shared" si="14"/>
        <v>1</v>
      </c>
      <c r="T212" s="3" t="s">
        <v>38</v>
      </c>
      <c r="U212" s="185" t="str">
        <f t="shared" si="12"/>
        <v>N/A</v>
      </c>
    </row>
    <row r="213" spans="1:21" ht="18.75" customHeight="1" x14ac:dyDescent="0.35">
      <c r="A213" s="11">
        <v>54300</v>
      </c>
      <c r="B213" s="11">
        <v>2</v>
      </c>
      <c r="C213" s="11" t="s">
        <v>56</v>
      </c>
      <c r="D213" s="11" t="s">
        <v>95</v>
      </c>
      <c r="E213" s="12">
        <v>1.25</v>
      </c>
      <c r="F213" s="13">
        <v>7.0400000000000004E-2</v>
      </c>
      <c r="G213" s="131">
        <v>8.3772844999999999E-2</v>
      </c>
      <c r="H213" s="14">
        <v>0</v>
      </c>
      <c r="I213" s="11" t="s">
        <v>53</v>
      </c>
      <c r="J213" s="129" t="s">
        <v>52</v>
      </c>
      <c r="K213" s="14">
        <v>0</v>
      </c>
      <c r="L213" s="11" t="s">
        <v>52</v>
      </c>
      <c r="M213" s="15" t="s">
        <v>283</v>
      </c>
      <c r="N213" s="15" t="s">
        <v>53</v>
      </c>
      <c r="P213" s="186" t="s">
        <v>145</v>
      </c>
      <c r="Q213" t="s">
        <v>143</v>
      </c>
      <c r="R213" s="129">
        <f t="shared" si="16"/>
        <v>54300</v>
      </c>
      <c r="S213" s="3">
        <f t="shared" si="14"/>
        <v>1</v>
      </c>
      <c r="T213" s="3" t="s">
        <v>38</v>
      </c>
      <c r="U213" s="185" t="str">
        <f t="shared" si="12"/>
        <v>N/A</v>
      </c>
    </row>
    <row r="214" spans="1:21" ht="18.75" customHeight="1" x14ac:dyDescent="0.35">
      <c r="A214" s="11">
        <v>54298</v>
      </c>
      <c r="B214" s="11">
        <v>5</v>
      </c>
      <c r="C214" s="11" t="s">
        <v>56</v>
      </c>
      <c r="D214" s="11" t="s">
        <v>95</v>
      </c>
      <c r="E214" s="12">
        <v>0.6</v>
      </c>
      <c r="F214" s="13">
        <v>5.1400000000000001E-2</v>
      </c>
      <c r="G214" s="131">
        <v>7.5514652000000002E-2</v>
      </c>
      <c r="H214" s="14">
        <v>0</v>
      </c>
      <c r="I214" s="11" t="s">
        <v>53</v>
      </c>
      <c r="J214" s="129" t="s">
        <v>52</v>
      </c>
      <c r="K214" s="14">
        <v>0</v>
      </c>
      <c r="L214" s="11" t="s">
        <v>52</v>
      </c>
      <c r="M214" s="15" t="s">
        <v>284</v>
      </c>
      <c r="N214" s="15" t="s">
        <v>53</v>
      </c>
      <c r="P214" s="186" t="s">
        <v>145</v>
      </c>
      <c r="Q214" t="s">
        <v>143</v>
      </c>
      <c r="R214" s="129">
        <f t="shared" si="16"/>
        <v>54298</v>
      </c>
      <c r="S214" s="3">
        <f t="shared" si="14"/>
        <v>1</v>
      </c>
      <c r="T214" s="3" t="s">
        <v>38</v>
      </c>
      <c r="U214" s="185" t="str">
        <f t="shared" si="12"/>
        <v>N/A</v>
      </c>
    </row>
    <row r="215" spans="1:21" ht="18.75" customHeight="1" x14ac:dyDescent="0.35">
      <c r="A215" s="11">
        <v>54297</v>
      </c>
      <c r="B215" s="11">
        <v>5</v>
      </c>
      <c r="C215" s="11" t="s">
        <v>56</v>
      </c>
      <c r="D215" s="11" t="s">
        <v>95</v>
      </c>
      <c r="E215" s="12">
        <v>0.75</v>
      </c>
      <c r="F215" s="13">
        <v>6.1899999999999997E-2</v>
      </c>
      <c r="G215" s="131">
        <v>7.9392193999999999E-2</v>
      </c>
      <c r="H215" s="14">
        <v>0</v>
      </c>
      <c r="I215" s="11" t="s">
        <v>53</v>
      </c>
      <c r="J215" s="129" t="s">
        <v>52</v>
      </c>
      <c r="K215" s="14">
        <v>0</v>
      </c>
      <c r="L215" s="11" t="s">
        <v>52</v>
      </c>
      <c r="M215" s="15" t="s">
        <v>284</v>
      </c>
      <c r="N215" s="15" t="s">
        <v>53</v>
      </c>
      <c r="P215" s="186" t="s">
        <v>145</v>
      </c>
      <c r="Q215" t="s">
        <v>143</v>
      </c>
      <c r="R215" s="129">
        <f t="shared" si="16"/>
        <v>54297</v>
      </c>
      <c r="S215" s="3">
        <f t="shared" si="14"/>
        <v>1</v>
      </c>
      <c r="T215" s="3" t="s">
        <v>38</v>
      </c>
      <c r="U215" s="185" t="str">
        <f t="shared" si="12"/>
        <v>N/A</v>
      </c>
    </row>
    <row r="216" spans="1:21" ht="18.75" customHeight="1" x14ac:dyDescent="0.35">
      <c r="A216" s="11"/>
      <c r="B216" s="11"/>
      <c r="C216" s="11"/>
      <c r="D216" s="11"/>
      <c r="E216" s="12"/>
      <c r="F216" s="13"/>
      <c r="G216" s="131"/>
      <c r="H216" s="14"/>
      <c r="I216" s="11"/>
      <c r="J216" s="129" t="str">
        <f t="shared" ref="J216:J230" si="17">IF(A216="","","Yes")</f>
        <v/>
      </c>
      <c r="K216" s="14"/>
      <c r="L216" s="11"/>
      <c r="M216" s="15"/>
      <c r="N216" s="15"/>
      <c r="P216" s="186" t="s">
        <v>145</v>
      </c>
      <c r="Q216" t="s">
        <v>143</v>
      </c>
      <c r="R216" s="129" t="str">
        <f t="shared" si="16"/>
        <v/>
      </c>
      <c r="S216" s="3">
        <f t="shared" si="14"/>
        <v>1</v>
      </c>
      <c r="T216" s="3" t="s">
        <v>38</v>
      </c>
      <c r="U216" s="185" t="str">
        <f t="shared" si="12"/>
        <v>N/A</v>
      </c>
    </row>
    <row r="217" spans="1:21" ht="18.75" customHeight="1" x14ac:dyDescent="0.35">
      <c r="A217" s="11"/>
      <c r="B217" s="11"/>
      <c r="C217" s="11"/>
      <c r="D217" s="11"/>
      <c r="E217" s="12"/>
      <c r="F217" s="13"/>
      <c r="G217" s="131"/>
      <c r="H217" s="14"/>
      <c r="I217" s="11"/>
      <c r="J217" s="129" t="str">
        <f t="shared" si="17"/>
        <v/>
      </c>
      <c r="K217" s="14"/>
      <c r="L217" s="11"/>
      <c r="M217" s="15"/>
      <c r="N217" s="15"/>
      <c r="P217" s="186" t="s">
        <v>145</v>
      </c>
      <c r="Q217" t="s">
        <v>143</v>
      </c>
      <c r="R217" s="129" t="str">
        <f t="shared" si="16"/>
        <v/>
      </c>
      <c r="S217" s="3">
        <f t="shared" si="14"/>
        <v>1</v>
      </c>
      <c r="T217" s="3" t="s">
        <v>38</v>
      </c>
      <c r="U217" s="185" t="str">
        <f t="shared" si="12"/>
        <v>N/A</v>
      </c>
    </row>
    <row r="218" spans="1:21" ht="18.75" customHeight="1" x14ac:dyDescent="0.35">
      <c r="A218" s="11"/>
      <c r="B218" s="11"/>
      <c r="C218" s="11"/>
      <c r="D218" s="11"/>
      <c r="E218" s="12"/>
      <c r="F218" s="13"/>
      <c r="G218" s="131"/>
      <c r="H218" s="14"/>
      <c r="I218" s="11"/>
      <c r="J218" s="129" t="str">
        <f t="shared" si="17"/>
        <v/>
      </c>
      <c r="K218" s="14"/>
      <c r="L218" s="11"/>
      <c r="M218" s="15"/>
      <c r="N218" s="15"/>
      <c r="P218" s="186" t="s">
        <v>145</v>
      </c>
      <c r="Q218" t="s">
        <v>143</v>
      </c>
      <c r="R218" s="129" t="str">
        <f t="shared" si="16"/>
        <v/>
      </c>
      <c r="S218" s="3">
        <f t="shared" si="14"/>
        <v>1</v>
      </c>
      <c r="T218" s="3" t="s">
        <v>38</v>
      </c>
      <c r="U218" s="185" t="str">
        <f t="shared" si="12"/>
        <v>N/A</v>
      </c>
    </row>
    <row r="219" spans="1:21" ht="18.75" customHeight="1" x14ac:dyDescent="0.35">
      <c r="A219" s="11"/>
      <c r="B219" s="11"/>
      <c r="C219" s="11"/>
      <c r="D219" s="11"/>
      <c r="E219" s="12"/>
      <c r="F219" s="13"/>
      <c r="G219" s="131"/>
      <c r="H219" s="14"/>
      <c r="I219" s="11"/>
      <c r="J219" s="129" t="str">
        <f t="shared" si="17"/>
        <v/>
      </c>
      <c r="K219" s="14"/>
      <c r="L219" s="11"/>
      <c r="M219" s="15"/>
      <c r="N219" s="15"/>
      <c r="P219" s="186" t="s">
        <v>145</v>
      </c>
      <c r="Q219" t="s">
        <v>143</v>
      </c>
      <c r="R219" s="129" t="str">
        <f t="shared" si="16"/>
        <v/>
      </c>
      <c r="S219" s="3">
        <f t="shared" si="14"/>
        <v>1</v>
      </c>
      <c r="T219" s="3" t="s">
        <v>38</v>
      </c>
      <c r="U219" s="185" t="str">
        <f t="shared" si="12"/>
        <v>N/A</v>
      </c>
    </row>
    <row r="220" spans="1:21" ht="18.75" customHeight="1" x14ac:dyDescent="0.35">
      <c r="A220" s="11"/>
      <c r="B220" s="11"/>
      <c r="C220" s="11"/>
      <c r="D220" s="11"/>
      <c r="E220" s="12"/>
      <c r="F220" s="13"/>
      <c r="G220" s="131"/>
      <c r="H220" s="14"/>
      <c r="I220" s="11"/>
      <c r="J220" s="129" t="str">
        <f t="shared" si="17"/>
        <v/>
      </c>
      <c r="K220" s="14"/>
      <c r="L220" s="11"/>
      <c r="M220" s="15"/>
      <c r="N220" s="15"/>
      <c r="P220" s="186" t="s">
        <v>145</v>
      </c>
      <c r="Q220" t="s">
        <v>143</v>
      </c>
      <c r="R220" s="129" t="str">
        <f t="shared" si="16"/>
        <v/>
      </c>
      <c r="S220" s="3">
        <f t="shared" si="14"/>
        <v>1</v>
      </c>
      <c r="T220" s="3" t="s">
        <v>38</v>
      </c>
      <c r="U220" s="185" t="str">
        <f t="shared" ref="U220:U283" si="18">IF(C220="Discount",IF(OR(T220=$W$8,T220=$W$10,T220=$W$11,T220=$W$19,T220=$W$20,T220=$W$21,T220=$W$22),$AI$5-F220,$AH$5-F220),IF(C220="Tracker",F220-$AG$5,"N/A"))</f>
        <v>N/A</v>
      </c>
    </row>
    <row r="221" spans="1:21" ht="18.75" customHeight="1" x14ac:dyDescent="0.35">
      <c r="A221" s="11"/>
      <c r="B221" s="11"/>
      <c r="C221" s="11"/>
      <c r="D221" s="11"/>
      <c r="E221" s="12"/>
      <c r="F221" s="13"/>
      <c r="G221" s="131"/>
      <c r="H221" s="14"/>
      <c r="I221" s="11"/>
      <c r="J221" s="129" t="str">
        <f t="shared" si="17"/>
        <v/>
      </c>
      <c r="K221" s="14"/>
      <c r="L221" s="11"/>
      <c r="M221" s="15"/>
      <c r="N221" s="15"/>
      <c r="P221" s="186" t="s">
        <v>145</v>
      </c>
      <c r="Q221" t="s">
        <v>143</v>
      </c>
      <c r="R221" s="129" t="str">
        <f t="shared" si="16"/>
        <v/>
      </c>
      <c r="S221" s="3">
        <f t="shared" si="14"/>
        <v>1</v>
      </c>
      <c r="T221" s="3" t="s">
        <v>38</v>
      </c>
      <c r="U221" s="185" t="str">
        <f t="shared" si="18"/>
        <v>N/A</v>
      </c>
    </row>
    <row r="222" spans="1:21" ht="18.75" customHeight="1" x14ac:dyDescent="0.35">
      <c r="A222" s="11"/>
      <c r="B222" s="11"/>
      <c r="C222" s="11"/>
      <c r="D222" s="11"/>
      <c r="E222" s="12"/>
      <c r="F222" s="13"/>
      <c r="G222" s="13"/>
      <c r="H222" s="14"/>
      <c r="I222" s="11"/>
      <c r="J222" s="129" t="str">
        <f t="shared" si="17"/>
        <v/>
      </c>
      <c r="K222" s="14"/>
      <c r="L222" s="11"/>
      <c r="M222" s="15"/>
      <c r="N222" s="15"/>
      <c r="P222" s="186" t="s">
        <v>145</v>
      </c>
      <c r="Q222" t="s">
        <v>143</v>
      </c>
      <c r="R222" s="129" t="str">
        <f t="shared" si="16"/>
        <v/>
      </c>
      <c r="S222" s="3">
        <f t="shared" si="14"/>
        <v>1</v>
      </c>
      <c r="T222" s="3" t="s">
        <v>38</v>
      </c>
      <c r="U222" s="185" t="str">
        <f t="shared" si="18"/>
        <v>N/A</v>
      </c>
    </row>
    <row r="223" spans="1:21" ht="18.75" customHeight="1" x14ac:dyDescent="0.35">
      <c r="A223" s="11"/>
      <c r="B223" s="11"/>
      <c r="C223" s="11"/>
      <c r="D223" s="11"/>
      <c r="E223" s="12"/>
      <c r="F223" s="13"/>
      <c r="G223" s="13"/>
      <c r="H223" s="14"/>
      <c r="I223" s="11"/>
      <c r="J223" s="129" t="str">
        <f t="shared" si="17"/>
        <v/>
      </c>
      <c r="K223" s="14"/>
      <c r="L223" s="11"/>
      <c r="M223" s="15"/>
      <c r="N223" s="15"/>
      <c r="P223" s="186" t="s">
        <v>145</v>
      </c>
      <c r="Q223" t="s">
        <v>143</v>
      </c>
      <c r="R223" s="129" t="str">
        <f t="shared" si="16"/>
        <v/>
      </c>
      <c r="S223" s="3">
        <f t="shared" si="14"/>
        <v>1</v>
      </c>
      <c r="T223" s="3" t="s">
        <v>38</v>
      </c>
      <c r="U223" s="185" t="str">
        <f t="shared" si="18"/>
        <v>N/A</v>
      </c>
    </row>
    <row r="224" spans="1:21" ht="18.75" customHeight="1" x14ac:dyDescent="0.35">
      <c r="A224" s="11"/>
      <c r="B224" s="11"/>
      <c r="C224" s="11"/>
      <c r="D224" s="11"/>
      <c r="E224" s="12"/>
      <c r="F224" s="13"/>
      <c r="G224" s="13"/>
      <c r="H224" s="14"/>
      <c r="I224" s="11"/>
      <c r="J224" s="129" t="str">
        <f t="shared" si="17"/>
        <v/>
      </c>
      <c r="K224" s="14"/>
      <c r="L224" s="11"/>
      <c r="M224" s="15"/>
      <c r="N224" s="15"/>
      <c r="P224" s="186" t="s">
        <v>145</v>
      </c>
      <c r="Q224" t="s">
        <v>143</v>
      </c>
      <c r="R224" s="129" t="str">
        <f t="shared" si="16"/>
        <v/>
      </c>
      <c r="S224" s="3">
        <f t="shared" si="14"/>
        <v>1</v>
      </c>
      <c r="T224" s="3" t="s">
        <v>38</v>
      </c>
      <c r="U224" s="185" t="str">
        <f t="shared" si="18"/>
        <v>N/A</v>
      </c>
    </row>
    <row r="225" spans="1:21" ht="18.75" customHeight="1" x14ac:dyDescent="0.35">
      <c r="A225" s="11"/>
      <c r="B225" s="11"/>
      <c r="C225" s="11"/>
      <c r="D225" s="11"/>
      <c r="E225" s="12"/>
      <c r="F225" s="13"/>
      <c r="G225" s="13"/>
      <c r="H225" s="14"/>
      <c r="I225" s="11"/>
      <c r="J225" s="129" t="str">
        <f t="shared" si="17"/>
        <v/>
      </c>
      <c r="K225" s="14"/>
      <c r="L225" s="11"/>
      <c r="M225" s="15"/>
      <c r="N225" s="15"/>
      <c r="P225" s="186" t="s">
        <v>145</v>
      </c>
      <c r="Q225" t="s">
        <v>143</v>
      </c>
      <c r="R225" s="129" t="str">
        <f t="shared" si="16"/>
        <v/>
      </c>
      <c r="S225" s="3">
        <f t="shared" si="14"/>
        <v>1</v>
      </c>
      <c r="T225" s="3" t="s">
        <v>38</v>
      </c>
      <c r="U225" s="185" t="str">
        <f t="shared" si="18"/>
        <v>N/A</v>
      </c>
    </row>
    <row r="226" spans="1:21" ht="18.75" customHeight="1" x14ac:dyDescent="0.35">
      <c r="A226" s="11"/>
      <c r="B226" s="11"/>
      <c r="C226" s="11"/>
      <c r="D226" s="11"/>
      <c r="E226" s="12"/>
      <c r="F226" s="13"/>
      <c r="G226" s="13"/>
      <c r="H226" s="14"/>
      <c r="I226" s="11"/>
      <c r="J226" s="129" t="str">
        <f t="shared" si="17"/>
        <v/>
      </c>
      <c r="K226" s="14"/>
      <c r="L226" s="11"/>
      <c r="M226" s="15"/>
      <c r="N226" s="15"/>
      <c r="P226" s="186" t="s">
        <v>145</v>
      </c>
      <c r="Q226" t="s">
        <v>143</v>
      </c>
      <c r="R226" s="129" t="str">
        <f t="shared" si="16"/>
        <v/>
      </c>
      <c r="S226" s="3">
        <f t="shared" si="14"/>
        <v>1</v>
      </c>
      <c r="T226" s="3" t="s">
        <v>38</v>
      </c>
      <c r="U226" s="185" t="str">
        <f t="shared" si="18"/>
        <v>N/A</v>
      </c>
    </row>
    <row r="227" spans="1:21" ht="18.75" customHeight="1" x14ac:dyDescent="0.35">
      <c r="A227" s="11"/>
      <c r="B227" s="11"/>
      <c r="C227" s="11"/>
      <c r="D227" s="11"/>
      <c r="E227" s="12"/>
      <c r="F227" s="13"/>
      <c r="G227" s="13"/>
      <c r="H227" s="14"/>
      <c r="I227" s="11"/>
      <c r="J227" s="129" t="str">
        <f t="shared" si="17"/>
        <v/>
      </c>
      <c r="K227" s="14"/>
      <c r="L227" s="11"/>
      <c r="M227" s="15"/>
      <c r="N227" s="15"/>
      <c r="P227" s="186" t="s">
        <v>145</v>
      </c>
      <c r="Q227" t="s">
        <v>143</v>
      </c>
      <c r="R227" s="129" t="str">
        <f t="shared" si="16"/>
        <v/>
      </c>
      <c r="S227" s="3">
        <f t="shared" si="14"/>
        <v>1</v>
      </c>
      <c r="T227" s="3" t="s">
        <v>38</v>
      </c>
      <c r="U227" s="185" t="str">
        <f t="shared" si="18"/>
        <v>N/A</v>
      </c>
    </row>
    <row r="228" spans="1:21" ht="18.75" customHeight="1" x14ac:dyDescent="0.35">
      <c r="A228" s="11"/>
      <c r="B228" s="11"/>
      <c r="C228" s="11"/>
      <c r="D228" s="11"/>
      <c r="E228" s="12"/>
      <c r="F228" s="13"/>
      <c r="G228" s="13"/>
      <c r="H228" s="14"/>
      <c r="I228" s="11"/>
      <c r="J228" s="129" t="str">
        <f t="shared" si="17"/>
        <v/>
      </c>
      <c r="K228" s="14"/>
      <c r="L228" s="11"/>
      <c r="M228" s="15"/>
      <c r="N228" s="15"/>
      <c r="P228" s="186" t="s">
        <v>145</v>
      </c>
      <c r="Q228" t="s">
        <v>143</v>
      </c>
      <c r="R228" s="129" t="str">
        <f t="shared" si="16"/>
        <v/>
      </c>
      <c r="S228" s="3">
        <f t="shared" si="14"/>
        <v>1</v>
      </c>
      <c r="T228" s="3" t="s">
        <v>38</v>
      </c>
      <c r="U228" s="185" t="str">
        <f t="shared" si="18"/>
        <v>N/A</v>
      </c>
    </row>
    <row r="229" spans="1:21" ht="18.75" customHeight="1" x14ac:dyDescent="0.35">
      <c r="A229" s="11"/>
      <c r="B229" s="11"/>
      <c r="C229" s="11"/>
      <c r="D229" s="11"/>
      <c r="E229" s="12"/>
      <c r="F229" s="13"/>
      <c r="G229" s="13"/>
      <c r="H229" s="14"/>
      <c r="I229" s="11"/>
      <c r="J229" s="129" t="str">
        <f t="shared" si="17"/>
        <v/>
      </c>
      <c r="K229" s="14"/>
      <c r="L229" s="11"/>
      <c r="M229" s="15"/>
      <c r="N229" s="15"/>
      <c r="P229" s="186" t="s">
        <v>145</v>
      </c>
      <c r="Q229" t="s">
        <v>143</v>
      </c>
      <c r="R229" s="129" t="str">
        <f t="shared" si="16"/>
        <v/>
      </c>
      <c r="S229" s="3">
        <f t="shared" si="14"/>
        <v>1</v>
      </c>
      <c r="T229" s="3" t="s">
        <v>38</v>
      </c>
      <c r="U229" s="185" t="str">
        <f t="shared" si="18"/>
        <v>N/A</v>
      </c>
    </row>
    <row r="230" spans="1:21" ht="18.75" customHeight="1" x14ac:dyDescent="0.35">
      <c r="A230" s="11"/>
      <c r="B230" s="11"/>
      <c r="C230" s="11"/>
      <c r="D230" s="11"/>
      <c r="E230" s="12"/>
      <c r="F230" s="13"/>
      <c r="G230" s="13"/>
      <c r="H230" s="14"/>
      <c r="I230" s="11"/>
      <c r="J230" s="129" t="str">
        <f t="shared" si="17"/>
        <v/>
      </c>
      <c r="K230" s="14"/>
      <c r="L230" s="11"/>
      <c r="M230" s="15"/>
      <c r="N230" s="15"/>
      <c r="P230" s="186" t="s">
        <v>145</v>
      </c>
      <c r="Q230" t="s">
        <v>143</v>
      </c>
      <c r="R230" s="129" t="str">
        <f t="shared" si="16"/>
        <v/>
      </c>
      <c r="S230" s="3">
        <f t="shared" si="14"/>
        <v>1</v>
      </c>
      <c r="T230" s="3" t="s">
        <v>38</v>
      </c>
      <c r="U230" s="185" t="str">
        <f t="shared" si="18"/>
        <v>N/A</v>
      </c>
    </row>
    <row r="231" spans="1:21" ht="18.649999999999999" customHeight="1" x14ac:dyDescent="0.35">
      <c r="A231" s="246" t="s">
        <v>43</v>
      </c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8"/>
      <c r="P231" t="s">
        <v>35</v>
      </c>
      <c r="Q231" s="184" t="s">
        <v>30</v>
      </c>
      <c r="S231" s="3">
        <f t="shared" si="14"/>
        <v>1</v>
      </c>
      <c r="T231" s="3" t="s">
        <v>35</v>
      </c>
      <c r="U231" s="185" t="str">
        <f t="shared" si="18"/>
        <v>N/A</v>
      </c>
    </row>
    <row r="232" spans="1:21" ht="18.649999999999999" customHeight="1" x14ac:dyDescent="0.35">
      <c r="A232" s="11">
        <v>54305</v>
      </c>
      <c r="B232" s="11">
        <v>2</v>
      </c>
      <c r="C232" s="11" t="s">
        <v>56</v>
      </c>
      <c r="D232" s="11" t="s">
        <v>95</v>
      </c>
      <c r="E232" s="12">
        <v>0.85</v>
      </c>
      <c r="F232" s="13">
        <v>4.6399999999999997E-2</v>
      </c>
      <c r="G232" s="131">
        <v>7.7585213E-2</v>
      </c>
      <c r="H232" s="14">
        <v>0</v>
      </c>
      <c r="I232" s="11" t="s">
        <v>53</v>
      </c>
      <c r="J232" s="129" t="s">
        <v>52</v>
      </c>
      <c r="K232" s="14">
        <v>0</v>
      </c>
      <c r="L232" s="11" t="s">
        <v>52</v>
      </c>
      <c r="M232" s="15" t="s">
        <v>283</v>
      </c>
      <c r="N232" s="129" t="s">
        <v>53</v>
      </c>
      <c r="P232" t="s">
        <v>35</v>
      </c>
      <c r="Q232" s="184" t="s">
        <v>30</v>
      </c>
      <c r="R232" s="129">
        <f t="shared" ref="R232:R251" si="19">IF(A232="","",A232)</f>
        <v>54305</v>
      </c>
      <c r="S232" s="3">
        <f t="shared" si="14"/>
        <v>1</v>
      </c>
      <c r="T232" s="3" t="s">
        <v>35</v>
      </c>
      <c r="U232" s="185" t="str">
        <f t="shared" si="18"/>
        <v>N/A</v>
      </c>
    </row>
    <row r="233" spans="1:21" ht="18.75" customHeight="1" x14ac:dyDescent="0.35">
      <c r="A233" s="11">
        <v>54304</v>
      </c>
      <c r="B233" s="11">
        <v>2</v>
      </c>
      <c r="C233" s="11" t="s">
        <v>56</v>
      </c>
      <c r="D233" s="11" t="s">
        <v>95</v>
      </c>
      <c r="E233" s="12">
        <v>0.95</v>
      </c>
      <c r="F233" s="13">
        <v>5.5399999999999998E-2</v>
      </c>
      <c r="G233" s="131">
        <v>7.9103528000000006E-2</v>
      </c>
      <c r="H233" s="14">
        <v>0</v>
      </c>
      <c r="I233" s="11" t="s">
        <v>53</v>
      </c>
      <c r="J233" s="129" t="s">
        <v>52</v>
      </c>
      <c r="K233" s="14">
        <v>0</v>
      </c>
      <c r="L233" s="11" t="s">
        <v>52</v>
      </c>
      <c r="M233" s="15" t="s">
        <v>283</v>
      </c>
      <c r="N233" s="129" t="s">
        <v>53</v>
      </c>
      <c r="P233" t="s">
        <v>35</v>
      </c>
      <c r="Q233" s="184" t="s">
        <v>30</v>
      </c>
      <c r="R233" s="129">
        <f t="shared" si="19"/>
        <v>54304</v>
      </c>
      <c r="S233" s="3">
        <f t="shared" si="14"/>
        <v>1</v>
      </c>
      <c r="T233" s="3" t="s">
        <v>35</v>
      </c>
      <c r="U233" s="185" t="str">
        <f t="shared" si="18"/>
        <v>N/A</v>
      </c>
    </row>
    <row r="234" spans="1:21" ht="18.75" customHeight="1" x14ac:dyDescent="0.35">
      <c r="A234" s="11">
        <v>54302</v>
      </c>
      <c r="B234" s="11">
        <v>2</v>
      </c>
      <c r="C234" s="11" t="s">
        <v>56</v>
      </c>
      <c r="D234" s="11" t="s">
        <v>95</v>
      </c>
      <c r="E234" s="12">
        <v>1.5</v>
      </c>
      <c r="F234" s="13">
        <v>6.7900000000000002E-2</v>
      </c>
      <c r="G234" s="131">
        <v>8.1272345999999995E-2</v>
      </c>
      <c r="H234" s="14">
        <v>0</v>
      </c>
      <c r="I234" s="11" t="s">
        <v>53</v>
      </c>
      <c r="J234" s="129" t="s">
        <v>52</v>
      </c>
      <c r="K234" s="14">
        <v>0</v>
      </c>
      <c r="L234" s="11" t="s">
        <v>52</v>
      </c>
      <c r="M234" s="15" t="s">
        <v>283</v>
      </c>
      <c r="N234" s="15" t="s">
        <v>53</v>
      </c>
      <c r="P234" t="s">
        <v>35</v>
      </c>
      <c r="Q234" s="184" t="s">
        <v>30</v>
      </c>
      <c r="R234" s="129">
        <f t="shared" si="19"/>
        <v>54302</v>
      </c>
      <c r="S234" s="3">
        <f t="shared" si="14"/>
        <v>1</v>
      </c>
      <c r="T234" s="3" t="s">
        <v>35</v>
      </c>
      <c r="U234" s="185" t="str">
        <f t="shared" si="18"/>
        <v>N/A</v>
      </c>
    </row>
    <row r="235" spans="1:21" ht="18.75" customHeight="1" x14ac:dyDescent="0.35">
      <c r="A235" s="11">
        <v>54306</v>
      </c>
      <c r="B235" s="11">
        <v>3</v>
      </c>
      <c r="C235" s="11" t="s">
        <v>56</v>
      </c>
      <c r="D235" s="11" t="s">
        <v>95</v>
      </c>
      <c r="E235" s="12">
        <v>0.85</v>
      </c>
      <c r="F235" s="13">
        <v>5.2400000000000002E-2</v>
      </c>
      <c r="G235" s="131">
        <v>7.6912498999999995E-2</v>
      </c>
      <c r="H235" s="14">
        <v>0</v>
      </c>
      <c r="I235" s="11" t="s">
        <v>53</v>
      </c>
      <c r="J235" s="129" t="s">
        <v>52</v>
      </c>
      <c r="K235" s="14">
        <v>0</v>
      </c>
      <c r="L235" s="11" t="s">
        <v>52</v>
      </c>
      <c r="M235" s="15" t="s">
        <v>285</v>
      </c>
      <c r="N235" s="15" t="s">
        <v>53</v>
      </c>
      <c r="P235" t="s">
        <v>35</v>
      </c>
      <c r="Q235" s="184" t="s">
        <v>30</v>
      </c>
      <c r="R235" s="129">
        <f t="shared" si="19"/>
        <v>54306</v>
      </c>
      <c r="S235" s="3">
        <f t="shared" si="14"/>
        <v>1</v>
      </c>
      <c r="T235" s="3" t="s">
        <v>35</v>
      </c>
      <c r="U235" s="185" t="str">
        <f t="shared" si="18"/>
        <v>N/A</v>
      </c>
    </row>
    <row r="236" spans="1:21" ht="18.75" customHeight="1" x14ac:dyDescent="0.35">
      <c r="A236" s="11">
        <v>54307</v>
      </c>
      <c r="B236" s="11">
        <v>3</v>
      </c>
      <c r="C236" s="11" t="s">
        <v>56</v>
      </c>
      <c r="D236" s="11" t="s">
        <v>95</v>
      </c>
      <c r="E236" s="12">
        <v>0.95</v>
      </c>
      <c r="F236" s="13">
        <v>5.5899999999999998E-2</v>
      </c>
      <c r="G236" s="131">
        <v>7.7754908999999997E-2</v>
      </c>
      <c r="H236" s="14">
        <v>0</v>
      </c>
      <c r="I236" s="11" t="s">
        <v>53</v>
      </c>
      <c r="J236" s="129" t="s">
        <v>52</v>
      </c>
      <c r="K236" s="14">
        <v>0</v>
      </c>
      <c r="L236" s="11" t="s">
        <v>52</v>
      </c>
      <c r="M236" s="15" t="s">
        <v>285</v>
      </c>
      <c r="N236" s="15" t="s">
        <v>53</v>
      </c>
      <c r="P236" t="s">
        <v>35</v>
      </c>
      <c r="Q236" s="184" t="s">
        <v>30</v>
      </c>
      <c r="R236" s="129">
        <f t="shared" si="19"/>
        <v>54307</v>
      </c>
      <c r="S236" s="3"/>
      <c r="T236" s="3"/>
      <c r="U236" s="185"/>
    </row>
    <row r="237" spans="1:21" ht="18.75" customHeight="1" x14ac:dyDescent="0.35">
      <c r="A237" s="11">
        <v>54308</v>
      </c>
      <c r="B237" s="11">
        <v>5</v>
      </c>
      <c r="C237" s="11" t="s">
        <v>56</v>
      </c>
      <c r="D237" s="11" t="s">
        <v>95</v>
      </c>
      <c r="E237" s="12">
        <v>0.85</v>
      </c>
      <c r="F237" s="13">
        <v>4.2900000000000001E-2</v>
      </c>
      <c r="G237" s="131">
        <v>7.0634749999999996E-2</v>
      </c>
      <c r="H237" s="14">
        <v>0</v>
      </c>
      <c r="I237" s="11" t="s">
        <v>53</v>
      </c>
      <c r="J237" s="129" t="s">
        <v>52</v>
      </c>
      <c r="K237" s="14">
        <v>0</v>
      </c>
      <c r="L237" s="11" t="s">
        <v>52</v>
      </c>
      <c r="M237" s="15" t="s">
        <v>284</v>
      </c>
      <c r="N237" s="15" t="s">
        <v>53</v>
      </c>
      <c r="P237" t="s">
        <v>35</v>
      </c>
      <c r="Q237" s="184" t="s">
        <v>30</v>
      </c>
      <c r="R237" s="129">
        <f t="shared" si="19"/>
        <v>54308</v>
      </c>
      <c r="S237" s="3"/>
      <c r="T237" s="3"/>
      <c r="U237" s="185"/>
    </row>
    <row r="238" spans="1:21" ht="18.75" customHeight="1" x14ac:dyDescent="0.35">
      <c r="A238" s="11">
        <v>54303</v>
      </c>
      <c r="B238" s="11">
        <v>5</v>
      </c>
      <c r="C238" s="11" t="s">
        <v>56</v>
      </c>
      <c r="D238" s="11" t="s">
        <v>95</v>
      </c>
      <c r="E238" s="12">
        <v>0.95</v>
      </c>
      <c r="F238" s="13">
        <v>5.2900000000000003E-2</v>
      </c>
      <c r="G238" s="131">
        <v>7.4155227000000004E-2</v>
      </c>
      <c r="H238" s="14">
        <v>0</v>
      </c>
      <c r="I238" s="11" t="s">
        <v>53</v>
      </c>
      <c r="J238" s="129" t="s">
        <v>52</v>
      </c>
      <c r="K238" s="14">
        <v>0</v>
      </c>
      <c r="L238" s="11" t="s">
        <v>52</v>
      </c>
      <c r="M238" s="15" t="s">
        <v>284</v>
      </c>
      <c r="N238" s="15" t="s">
        <v>53</v>
      </c>
      <c r="P238" t="s">
        <v>35</v>
      </c>
      <c r="Q238" s="184" t="s">
        <v>30</v>
      </c>
      <c r="R238" s="129">
        <f t="shared" si="19"/>
        <v>54303</v>
      </c>
      <c r="S238" s="3">
        <f t="shared" ref="S238:S299" si="20">IF(OR($C$2="",$C$2="Residential"),1,0)</f>
        <v>1</v>
      </c>
      <c r="T238" s="3" t="s">
        <v>35</v>
      </c>
      <c r="U238" s="185" t="str">
        <f t="shared" si="18"/>
        <v>N/A</v>
      </c>
    </row>
    <row r="239" spans="1:21" ht="18.75" customHeight="1" x14ac:dyDescent="0.35">
      <c r="A239" s="11"/>
      <c r="B239" s="11"/>
      <c r="C239" s="11"/>
      <c r="D239" s="11"/>
      <c r="E239" s="12"/>
      <c r="F239" s="13"/>
      <c r="G239" s="131"/>
      <c r="H239" s="14"/>
      <c r="I239" s="11"/>
      <c r="J239" s="129" t="str">
        <f t="shared" ref="J239:J251" si="21">IF(A239="","","Yes")</f>
        <v/>
      </c>
      <c r="K239" s="14"/>
      <c r="L239" s="11"/>
      <c r="M239" s="15"/>
      <c r="N239" s="15"/>
      <c r="P239" t="s">
        <v>35</v>
      </c>
      <c r="Q239" s="184" t="s">
        <v>30</v>
      </c>
      <c r="R239" s="129" t="str">
        <f t="shared" si="19"/>
        <v/>
      </c>
      <c r="S239" s="3">
        <f t="shared" si="20"/>
        <v>1</v>
      </c>
      <c r="T239" s="3" t="s">
        <v>35</v>
      </c>
      <c r="U239" s="185" t="str">
        <f t="shared" si="18"/>
        <v>N/A</v>
      </c>
    </row>
    <row r="240" spans="1:21" ht="18.75" customHeight="1" x14ac:dyDescent="0.35">
      <c r="A240" s="11"/>
      <c r="B240" s="11"/>
      <c r="C240" s="11"/>
      <c r="D240" s="11"/>
      <c r="E240" s="12"/>
      <c r="F240" s="13"/>
      <c r="G240" s="131"/>
      <c r="H240" s="14"/>
      <c r="I240" s="11"/>
      <c r="J240" s="129" t="str">
        <f t="shared" si="21"/>
        <v/>
      </c>
      <c r="K240" s="14"/>
      <c r="L240" s="11"/>
      <c r="M240" s="15"/>
      <c r="N240" s="15"/>
      <c r="P240" t="s">
        <v>35</v>
      </c>
      <c r="Q240" s="184" t="s">
        <v>30</v>
      </c>
      <c r="R240" s="129" t="str">
        <f t="shared" si="19"/>
        <v/>
      </c>
      <c r="S240" s="3">
        <f t="shared" si="20"/>
        <v>1</v>
      </c>
      <c r="T240" s="3" t="s">
        <v>35</v>
      </c>
      <c r="U240" s="185" t="str">
        <f t="shared" si="18"/>
        <v>N/A</v>
      </c>
    </row>
    <row r="241" spans="1:21" ht="18.75" customHeight="1" x14ac:dyDescent="0.35">
      <c r="A241" s="11"/>
      <c r="B241" s="11"/>
      <c r="C241" s="11"/>
      <c r="D241" s="11"/>
      <c r="E241" s="12"/>
      <c r="F241" s="13"/>
      <c r="G241" s="131"/>
      <c r="H241" s="14"/>
      <c r="I241" s="11"/>
      <c r="J241" s="129" t="str">
        <f t="shared" si="21"/>
        <v/>
      </c>
      <c r="K241" s="14"/>
      <c r="L241" s="11"/>
      <c r="M241" s="15"/>
      <c r="N241" s="15"/>
      <c r="P241" t="s">
        <v>35</v>
      </c>
      <c r="Q241" s="184" t="s">
        <v>30</v>
      </c>
      <c r="R241" s="129" t="str">
        <f t="shared" si="19"/>
        <v/>
      </c>
      <c r="S241" s="3">
        <f t="shared" si="20"/>
        <v>1</v>
      </c>
      <c r="T241" s="3" t="s">
        <v>35</v>
      </c>
      <c r="U241" s="185" t="str">
        <f t="shared" si="18"/>
        <v>N/A</v>
      </c>
    </row>
    <row r="242" spans="1:21" ht="18.75" customHeight="1" x14ac:dyDescent="0.35">
      <c r="A242" s="11"/>
      <c r="B242" s="11"/>
      <c r="C242" s="11"/>
      <c r="D242" s="11"/>
      <c r="E242" s="12"/>
      <c r="F242" s="13"/>
      <c r="G242" s="131"/>
      <c r="H242" s="14"/>
      <c r="I242" s="11"/>
      <c r="J242" s="129" t="str">
        <f t="shared" si="21"/>
        <v/>
      </c>
      <c r="K242" s="14"/>
      <c r="L242" s="11"/>
      <c r="M242" s="15"/>
      <c r="N242" s="15"/>
      <c r="P242" t="s">
        <v>35</v>
      </c>
      <c r="Q242" s="184" t="s">
        <v>30</v>
      </c>
      <c r="R242" s="129" t="str">
        <f t="shared" si="19"/>
        <v/>
      </c>
      <c r="S242" s="3">
        <f t="shared" si="20"/>
        <v>1</v>
      </c>
      <c r="T242" s="3" t="s">
        <v>35</v>
      </c>
      <c r="U242" s="185" t="str">
        <f t="shared" ref="U242:U243" si="22">IF(C242="Discount",IF(OR(T242=$W$8,T242=$W$10,T242=$W$11,T242=$W$19,T242=$W$20,T242=$W$21,T242=$W$22),$AI$5-F242,$AH$5-F242),IF(C242="Tracker",F242-$AG$5,"N/A"))</f>
        <v>N/A</v>
      </c>
    </row>
    <row r="243" spans="1:21" ht="18.75" customHeight="1" x14ac:dyDescent="0.35">
      <c r="A243" s="11"/>
      <c r="B243" s="11"/>
      <c r="C243" s="11"/>
      <c r="D243" s="11"/>
      <c r="E243" s="12"/>
      <c r="F243" s="13"/>
      <c r="G243" s="131"/>
      <c r="H243" s="14"/>
      <c r="I243" s="11"/>
      <c r="J243" s="129" t="str">
        <f t="shared" si="21"/>
        <v/>
      </c>
      <c r="K243" s="14"/>
      <c r="L243" s="11"/>
      <c r="M243" s="15"/>
      <c r="N243" s="15"/>
      <c r="P243" t="s">
        <v>35</v>
      </c>
      <c r="Q243" s="184" t="s">
        <v>30</v>
      </c>
      <c r="R243" s="129" t="str">
        <f t="shared" si="19"/>
        <v/>
      </c>
      <c r="S243" s="3">
        <f t="shared" si="20"/>
        <v>1</v>
      </c>
      <c r="T243" s="3" t="s">
        <v>35</v>
      </c>
      <c r="U243" s="185" t="str">
        <f t="shared" si="22"/>
        <v>N/A</v>
      </c>
    </row>
    <row r="244" spans="1:21" ht="18.75" customHeight="1" x14ac:dyDescent="0.35">
      <c r="A244" s="11"/>
      <c r="B244" s="11"/>
      <c r="C244" s="11"/>
      <c r="D244" s="11"/>
      <c r="E244" s="12"/>
      <c r="F244" s="13"/>
      <c r="G244" s="131"/>
      <c r="H244" s="14"/>
      <c r="I244" s="11"/>
      <c r="J244" s="129" t="str">
        <f t="shared" si="21"/>
        <v/>
      </c>
      <c r="K244" s="14"/>
      <c r="L244" s="11"/>
      <c r="M244" s="15"/>
      <c r="N244" s="15"/>
      <c r="P244" t="s">
        <v>35</v>
      </c>
      <c r="Q244" s="184" t="s">
        <v>30</v>
      </c>
      <c r="R244" s="129" t="str">
        <f t="shared" si="19"/>
        <v/>
      </c>
      <c r="S244" s="3">
        <f t="shared" si="20"/>
        <v>1</v>
      </c>
      <c r="T244" s="3" t="s">
        <v>35</v>
      </c>
      <c r="U244" s="185" t="str">
        <f t="shared" si="18"/>
        <v>N/A</v>
      </c>
    </row>
    <row r="245" spans="1:21" ht="18.75" customHeight="1" x14ac:dyDescent="0.35">
      <c r="A245" s="11"/>
      <c r="B245" s="11"/>
      <c r="C245" s="11"/>
      <c r="D245" s="11"/>
      <c r="E245" s="12"/>
      <c r="F245" s="13"/>
      <c r="G245" s="131"/>
      <c r="H245" s="14"/>
      <c r="I245" s="11"/>
      <c r="J245" s="129" t="str">
        <f t="shared" si="21"/>
        <v/>
      </c>
      <c r="K245" s="14"/>
      <c r="L245" s="11"/>
      <c r="M245" s="15"/>
      <c r="N245" s="15"/>
      <c r="P245" t="s">
        <v>35</v>
      </c>
      <c r="Q245" s="184" t="s">
        <v>30</v>
      </c>
      <c r="R245" s="129" t="str">
        <f t="shared" si="19"/>
        <v/>
      </c>
      <c r="S245" s="3">
        <f t="shared" si="20"/>
        <v>1</v>
      </c>
      <c r="T245" s="3" t="s">
        <v>35</v>
      </c>
      <c r="U245" s="185" t="str">
        <f t="shared" si="18"/>
        <v>N/A</v>
      </c>
    </row>
    <row r="246" spans="1:21" ht="18.75" customHeight="1" x14ac:dyDescent="0.35">
      <c r="A246" s="11"/>
      <c r="B246" s="11"/>
      <c r="C246" s="11"/>
      <c r="D246" s="11"/>
      <c r="E246" s="12"/>
      <c r="F246" s="13"/>
      <c r="G246" s="13"/>
      <c r="H246" s="14"/>
      <c r="I246" s="11"/>
      <c r="J246" s="129" t="str">
        <f t="shared" si="21"/>
        <v/>
      </c>
      <c r="K246" s="14"/>
      <c r="L246" s="11"/>
      <c r="M246" s="15"/>
      <c r="N246" s="15"/>
      <c r="P246" t="s">
        <v>35</v>
      </c>
      <c r="Q246" s="184" t="s">
        <v>30</v>
      </c>
      <c r="R246" s="129" t="str">
        <f t="shared" si="19"/>
        <v/>
      </c>
      <c r="S246" s="3">
        <f t="shared" si="20"/>
        <v>1</v>
      </c>
      <c r="T246" s="3" t="s">
        <v>35</v>
      </c>
      <c r="U246" s="185" t="str">
        <f t="shared" si="18"/>
        <v>N/A</v>
      </c>
    </row>
    <row r="247" spans="1:21" ht="18.75" customHeight="1" x14ac:dyDescent="0.35">
      <c r="A247" s="11"/>
      <c r="B247" s="11"/>
      <c r="C247" s="11"/>
      <c r="D247" s="11"/>
      <c r="E247" s="12"/>
      <c r="F247" s="13"/>
      <c r="G247" s="13"/>
      <c r="H247" s="14"/>
      <c r="I247" s="11"/>
      <c r="J247" s="129" t="str">
        <f t="shared" si="21"/>
        <v/>
      </c>
      <c r="K247" s="14"/>
      <c r="L247" s="11"/>
      <c r="M247" s="15"/>
      <c r="N247" s="15"/>
      <c r="P247" t="s">
        <v>35</v>
      </c>
      <c r="Q247" s="184" t="s">
        <v>30</v>
      </c>
      <c r="R247" s="129" t="str">
        <f t="shared" si="19"/>
        <v/>
      </c>
      <c r="S247" s="3">
        <f t="shared" si="20"/>
        <v>1</v>
      </c>
      <c r="T247" s="3" t="s">
        <v>35</v>
      </c>
      <c r="U247" s="185" t="str">
        <f t="shared" si="18"/>
        <v>N/A</v>
      </c>
    </row>
    <row r="248" spans="1:21" ht="18.75" customHeight="1" x14ac:dyDescent="0.35">
      <c r="A248" s="11"/>
      <c r="B248" s="11"/>
      <c r="C248" s="11"/>
      <c r="D248" s="11"/>
      <c r="E248" s="12"/>
      <c r="F248" s="13"/>
      <c r="G248" s="13"/>
      <c r="H248" s="14"/>
      <c r="I248" s="11"/>
      <c r="J248" s="129" t="str">
        <f t="shared" si="21"/>
        <v/>
      </c>
      <c r="K248" s="14"/>
      <c r="L248" s="11"/>
      <c r="M248" s="15"/>
      <c r="N248" s="15"/>
      <c r="P248" t="s">
        <v>35</v>
      </c>
      <c r="Q248" s="184" t="s">
        <v>30</v>
      </c>
      <c r="R248" s="129" t="str">
        <f t="shared" si="19"/>
        <v/>
      </c>
      <c r="S248" s="3">
        <f t="shared" si="20"/>
        <v>1</v>
      </c>
      <c r="T248" s="3" t="s">
        <v>35</v>
      </c>
      <c r="U248" s="185" t="str">
        <f t="shared" si="18"/>
        <v>N/A</v>
      </c>
    </row>
    <row r="249" spans="1:21" ht="18.75" customHeight="1" x14ac:dyDescent="0.35">
      <c r="A249" s="11"/>
      <c r="B249" s="11"/>
      <c r="C249" s="11"/>
      <c r="D249" s="11"/>
      <c r="E249" s="12"/>
      <c r="F249" s="13"/>
      <c r="G249" s="13"/>
      <c r="H249" s="14"/>
      <c r="I249" s="11"/>
      <c r="J249" s="129" t="str">
        <f t="shared" si="21"/>
        <v/>
      </c>
      <c r="K249" s="14"/>
      <c r="L249" s="11"/>
      <c r="M249" s="15"/>
      <c r="N249" s="15"/>
      <c r="P249" t="s">
        <v>35</v>
      </c>
      <c r="Q249" s="184" t="s">
        <v>30</v>
      </c>
      <c r="R249" s="129" t="str">
        <f t="shared" si="19"/>
        <v/>
      </c>
      <c r="S249" s="3">
        <f t="shared" si="20"/>
        <v>1</v>
      </c>
      <c r="T249" s="3" t="s">
        <v>35</v>
      </c>
      <c r="U249" s="185" t="str">
        <f t="shared" si="18"/>
        <v>N/A</v>
      </c>
    </row>
    <row r="250" spans="1:21" ht="18.75" customHeight="1" x14ac:dyDescent="0.35">
      <c r="A250" s="11"/>
      <c r="B250" s="11"/>
      <c r="C250" s="11"/>
      <c r="D250" s="11"/>
      <c r="E250" s="12"/>
      <c r="F250" s="13"/>
      <c r="G250" s="13"/>
      <c r="H250" s="14"/>
      <c r="I250" s="11"/>
      <c r="J250" s="129" t="str">
        <f t="shared" si="21"/>
        <v/>
      </c>
      <c r="K250" s="14"/>
      <c r="L250" s="11"/>
      <c r="M250" s="15"/>
      <c r="N250" s="15"/>
      <c r="P250" t="s">
        <v>35</v>
      </c>
      <c r="Q250" s="184" t="s">
        <v>30</v>
      </c>
      <c r="R250" s="129" t="str">
        <f t="shared" si="19"/>
        <v/>
      </c>
      <c r="S250" s="3">
        <f t="shared" si="20"/>
        <v>1</v>
      </c>
      <c r="T250" s="3" t="s">
        <v>35</v>
      </c>
      <c r="U250" s="185" t="str">
        <f t="shared" si="18"/>
        <v>N/A</v>
      </c>
    </row>
    <row r="251" spans="1:21" ht="18.75" customHeight="1" x14ac:dyDescent="0.35">
      <c r="A251" s="11"/>
      <c r="B251" s="11"/>
      <c r="C251" s="11"/>
      <c r="D251" s="11"/>
      <c r="E251" s="12"/>
      <c r="F251" s="13"/>
      <c r="G251" s="13"/>
      <c r="H251" s="56"/>
      <c r="I251" s="57"/>
      <c r="J251" s="129" t="str">
        <f t="shared" si="21"/>
        <v/>
      </c>
      <c r="K251" s="56"/>
      <c r="L251" s="57"/>
      <c r="M251" s="15"/>
      <c r="N251" s="15"/>
      <c r="P251" t="s">
        <v>35</v>
      </c>
      <c r="Q251" s="184" t="s">
        <v>30</v>
      </c>
      <c r="R251" s="129" t="str">
        <f t="shared" si="19"/>
        <v/>
      </c>
      <c r="S251" s="3">
        <f t="shared" si="20"/>
        <v>1</v>
      </c>
      <c r="T251" s="3" t="s">
        <v>35</v>
      </c>
      <c r="U251" s="185" t="str">
        <f t="shared" si="18"/>
        <v>N/A</v>
      </c>
    </row>
    <row r="252" spans="1:21" ht="18.75" customHeight="1" x14ac:dyDescent="0.35">
      <c r="A252" s="249" t="s">
        <v>44</v>
      </c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P252" t="s">
        <v>36</v>
      </c>
      <c r="Q252" s="184" t="s">
        <v>30</v>
      </c>
      <c r="S252" s="3">
        <f t="shared" si="20"/>
        <v>1</v>
      </c>
      <c r="T252" s="3" t="s">
        <v>36</v>
      </c>
      <c r="U252" s="185" t="str">
        <f t="shared" si="18"/>
        <v>N/A</v>
      </c>
    </row>
    <row r="253" spans="1:21" ht="18.75" customHeight="1" x14ac:dyDescent="0.35">
      <c r="A253" s="11">
        <v>54311</v>
      </c>
      <c r="B253" s="11">
        <v>2</v>
      </c>
      <c r="C253" s="11" t="s">
        <v>56</v>
      </c>
      <c r="D253" s="11" t="s">
        <v>95</v>
      </c>
      <c r="E253" s="12">
        <v>0.75</v>
      </c>
      <c r="F253" s="13">
        <v>5.4399999999999997E-2</v>
      </c>
      <c r="G253" s="131">
        <v>7.8933726999999995E-2</v>
      </c>
      <c r="H253" s="14">
        <v>0</v>
      </c>
      <c r="I253" s="11" t="s">
        <v>53</v>
      </c>
      <c r="J253" s="129" t="s">
        <v>52</v>
      </c>
      <c r="K253" s="14">
        <v>0</v>
      </c>
      <c r="L253" s="11" t="s">
        <v>52</v>
      </c>
      <c r="M253" s="15" t="s">
        <v>283</v>
      </c>
      <c r="N253" s="129" t="s">
        <v>53</v>
      </c>
      <c r="P253" t="s">
        <v>36</v>
      </c>
      <c r="Q253" s="184" t="s">
        <v>30</v>
      </c>
      <c r="R253" s="129">
        <f t="shared" ref="R253:R272" si="23">IF(A253="","",A253)</f>
        <v>54311</v>
      </c>
      <c r="S253" s="3">
        <f t="shared" si="20"/>
        <v>1</v>
      </c>
      <c r="T253" s="3" t="s">
        <v>36</v>
      </c>
      <c r="U253" s="185" t="str">
        <f t="shared" si="18"/>
        <v>N/A</v>
      </c>
    </row>
    <row r="254" spans="1:21" ht="18.75" customHeight="1" x14ac:dyDescent="0.35">
      <c r="A254" s="11">
        <v>54310</v>
      </c>
      <c r="B254" s="11">
        <v>2</v>
      </c>
      <c r="C254" s="11" t="s">
        <v>56</v>
      </c>
      <c r="D254" s="11" t="s">
        <v>95</v>
      </c>
      <c r="E254" s="12">
        <v>0.85</v>
      </c>
      <c r="F254" s="13">
        <v>5.5399999999999998E-2</v>
      </c>
      <c r="G254" s="131">
        <v>7.9104313999999995E-2</v>
      </c>
      <c r="H254" s="14">
        <v>0</v>
      </c>
      <c r="I254" s="11" t="s">
        <v>53</v>
      </c>
      <c r="J254" s="129" t="s">
        <v>52</v>
      </c>
      <c r="K254" s="14">
        <v>0</v>
      </c>
      <c r="L254" s="11" t="s">
        <v>52</v>
      </c>
      <c r="M254" s="15" t="s">
        <v>283</v>
      </c>
      <c r="N254" s="15" t="s">
        <v>53</v>
      </c>
      <c r="P254" t="s">
        <v>36</v>
      </c>
      <c r="Q254" s="184" t="s">
        <v>30</v>
      </c>
      <c r="R254" s="129">
        <f t="shared" si="23"/>
        <v>54310</v>
      </c>
      <c r="S254" s="3">
        <f t="shared" si="20"/>
        <v>1</v>
      </c>
      <c r="T254" s="3" t="s">
        <v>36</v>
      </c>
      <c r="U254" s="185" t="str">
        <f t="shared" si="18"/>
        <v>N/A</v>
      </c>
    </row>
    <row r="255" spans="1:21" ht="18.75" customHeight="1" x14ac:dyDescent="0.35">
      <c r="A255" s="11">
        <v>54309</v>
      </c>
      <c r="B255" s="11">
        <v>2</v>
      </c>
      <c r="C255" s="11" t="s">
        <v>56</v>
      </c>
      <c r="D255" s="11" t="s">
        <v>95</v>
      </c>
      <c r="E255" s="12">
        <v>1.25</v>
      </c>
      <c r="F255" s="13">
        <v>6.7900000000000002E-2</v>
      </c>
      <c r="G255" s="131">
        <v>8.1272875999999994E-2</v>
      </c>
      <c r="H255" s="14">
        <v>0</v>
      </c>
      <c r="I255" s="11" t="s">
        <v>53</v>
      </c>
      <c r="J255" s="129" t="s">
        <v>52</v>
      </c>
      <c r="K255" s="14">
        <v>0</v>
      </c>
      <c r="L255" s="11" t="s">
        <v>52</v>
      </c>
      <c r="M255" s="15" t="s">
        <v>283</v>
      </c>
      <c r="N255" s="15" t="s">
        <v>53</v>
      </c>
      <c r="P255" t="s">
        <v>36</v>
      </c>
      <c r="Q255" s="184" t="s">
        <v>30</v>
      </c>
      <c r="R255" s="129">
        <f t="shared" si="23"/>
        <v>54309</v>
      </c>
      <c r="S255" s="3">
        <f t="shared" si="20"/>
        <v>1</v>
      </c>
      <c r="T255" s="3" t="s">
        <v>36</v>
      </c>
      <c r="U255" s="185" t="str">
        <f t="shared" si="18"/>
        <v>N/A</v>
      </c>
    </row>
    <row r="256" spans="1:21" ht="18.75" customHeight="1" x14ac:dyDescent="0.35">
      <c r="A256" s="11"/>
      <c r="B256" s="11"/>
      <c r="C256" s="11"/>
      <c r="D256" s="11"/>
      <c r="E256" s="12"/>
      <c r="F256" s="13"/>
      <c r="G256" s="131"/>
      <c r="H256" s="14"/>
      <c r="I256" s="11"/>
      <c r="J256" s="129" t="str">
        <f t="shared" ref="J256:J272" si="24">IF(A256="","","Yes")</f>
        <v/>
      </c>
      <c r="K256" s="14"/>
      <c r="L256" s="11"/>
      <c r="M256" s="15"/>
      <c r="N256" s="15"/>
      <c r="P256" t="s">
        <v>36</v>
      </c>
      <c r="Q256" s="184" t="s">
        <v>30</v>
      </c>
      <c r="R256" s="129" t="str">
        <f t="shared" si="23"/>
        <v/>
      </c>
      <c r="S256" s="3">
        <f t="shared" si="20"/>
        <v>1</v>
      </c>
      <c r="T256" s="3" t="s">
        <v>36</v>
      </c>
      <c r="U256" s="185" t="str">
        <f t="shared" si="18"/>
        <v>N/A</v>
      </c>
    </row>
    <row r="257" spans="1:21" ht="18.75" customHeight="1" x14ac:dyDescent="0.35">
      <c r="A257" s="11"/>
      <c r="B257" s="11"/>
      <c r="C257" s="11"/>
      <c r="D257" s="11"/>
      <c r="E257" s="12"/>
      <c r="F257" s="13"/>
      <c r="G257" s="131"/>
      <c r="H257" s="14"/>
      <c r="I257" s="11"/>
      <c r="J257" s="129" t="str">
        <f t="shared" si="24"/>
        <v/>
      </c>
      <c r="K257" s="14"/>
      <c r="L257" s="11"/>
      <c r="M257" s="15"/>
      <c r="N257" s="15"/>
      <c r="P257" t="s">
        <v>36</v>
      </c>
      <c r="Q257" s="184" t="s">
        <v>30</v>
      </c>
      <c r="R257" s="129" t="str">
        <f t="shared" si="23"/>
        <v/>
      </c>
      <c r="S257" s="3">
        <f t="shared" si="20"/>
        <v>1</v>
      </c>
      <c r="T257" s="3" t="s">
        <v>36</v>
      </c>
      <c r="U257" s="185" t="str">
        <f t="shared" si="18"/>
        <v>N/A</v>
      </c>
    </row>
    <row r="258" spans="1:21" ht="18.75" customHeight="1" x14ac:dyDescent="0.35">
      <c r="A258" s="11"/>
      <c r="B258" s="11"/>
      <c r="C258" s="11"/>
      <c r="D258" s="11"/>
      <c r="E258" s="12"/>
      <c r="F258" s="13"/>
      <c r="G258" s="131"/>
      <c r="H258" s="14"/>
      <c r="I258" s="11"/>
      <c r="J258" s="129" t="str">
        <f t="shared" si="24"/>
        <v/>
      </c>
      <c r="K258" s="14"/>
      <c r="L258" s="11"/>
      <c r="M258" s="15"/>
      <c r="N258" s="15"/>
      <c r="P258" t="s">
        <v>36</v>
      </c>
      <c r="Q258" s="184" t="s">
        <v>30</v>
      </c>
      <c r="R258" s="129" t="str">
        <f t="shared" si="23"/>
        <v/>
      </c>
      <c r="S258" s="3">
        <f t="shared" si="20"/>
        <v>1</v>
      </c>
      <c r="T258" s="3" t="s">
        <v>36</v>
      </c>
      <c r="U258" s="185" t="str">
        <f t="shared" si="18"/>
        <v>N/A</v>
      </c>
    </row>
    <row r="259" spans="1:21" ht="18.75" customHeight="1" x14ac:dyDescent="0.35">
      <c r="A259" s="11"/>
      <c r="B259" s="11"/>
      <c r="C259" s="11"/>
      <c r="D259" s="11"/>
      <c r="E259" s="12"/>
      <c r="F259" s="13"/>
      <c r="G259" s="13"/>
      <c r="H259" s="14"/>
      <c r="I259" s="11"/>
      <c r="J259" s="129" t="str">
        <f t="shared" si="24"/>
        <v/>
      </c>
      <c r="K259" s="14"/>
      <c r="L259" s="11"/>
      <c r="M259" s="15"/>
      <c r="N259" s="15"/>
      <c r="P259" t="s">
        <v>36</v>
      </c>
      <c r="Q259" s="184" t="s">
        <v>30</v>
      </c>
      <c r="R259" s="129" t="str">
        <f t="shared" si="23"/>
        <v/>
      </c>
      <c r="S259" s="3">
        <f t="shared" si="20"/>
        <v>1</v>
      </c>
      <c r="T259" s="3" t="s">
        <v>36</v>
      </c>
      <c r="U259" s="185" t="str">
        <f t="shared" si="18"/>
        <v>N/A</v>
      </c>
    </row>
    <row r="260" spans="1:21" ht="18.75" customHeight="1" x14ac:dyDescent="0.35">
      <c r="A260" s="11"/>
      <c r="B260" s="11"/>
      <c r="C260" s="11"/>
      <c r="D260" s="11"/>
      <c r="E260" s="12"/>
      <c r="F260" s="13"/>
      <c r="G260" s="13"/>
      <c r="H260" s="14"/>
      <c r="I260" s="11"/>
      <c r="J260" s="129" t="str">
        <f t="shared" si="24"/>
        <v/>
      </c>
      <c r="K260" s="14"/>
      <c r="L260" s="11"/>
      <c r="M260" s="15"/>
      <c r="N260" s="15"/>
      <c r="P260" t="s">
        <v>36</v>
      </c>
      <c r="Q260" s="184" t="s">
        <v>30</v>
      </c>
      <c r="R260" s="129" t="str">
        <f t="shared" si="23"/>
        <v/>
      </c>
      <c r="S260" s="3">
        <f t="shared" si="20"/>
        <v>1</v>
      </c>
      <c r="T260" s="3" t="s">
        <v>36</v>
      </c>
      <c r="U260" s="185" t="str">
        <f t="shared" si="18"/>
        <v>N/A</v>
      </c>
    </row>
    <row r="261" spans="1:21" ht="18.75" customHeight="1" x14ac:dyDescent="0.35">
      <c r="A261" s="11"/>
      <c r="B261" s="11"/>
      <c r="C261" s="11"/>
      <c r="D261" s="11"/>
      <c r="E261" s="12"/>
      <c r="F261" s="13"/>
      <c r="G261" s="13"/>
      <c r="H261" s="14"/>
      <c r="I261" s="11"/>
      <c r="J261" s="129" t="str">
        <f t="shared" si="24"/>
        <v/>
      </c>
      <c r="K261" s="14"/>
      <c r="L261" s="11"/>
      <c r="M261" s="15"/>
      <c r="N261" s="15"/>
      <c r="P261" t="s">
        <v>36</v>
      </c>
      <c r="Q261" s="184" t="s">
        <v>30</v>
      </c>
      <c r="R261" s="129" t="str">
        <f t="shared" si="23"/>
        <v/>
      </c>
      <c r="S261" s="3">
        <f t="shared" si="20"/>
        <v>1</v>
      </c>
      <c r="T261" s="3" t="s">
        <v>36</v>
      </c>
      <c r="U261" s="185" t="str">
        <f t="shared" si="18"/>
        <v>N/A</v>
      </c>
    </row>
    <row r="262" spans="1:21" ht="18.75" customHeight="1" x14ac:dyDescent="0.35">
      <c r="A262" s="11"/>
      <c r="B262" s="11"/>
      <c r="C262" s="11"/>
      <c r="D262" s="11"/>
      <c r="E262" s="12"/>
      <c r="F262" s="13"/>
      <c r="G262" s="13"/>
      <c r="H262" s="14"/>
      <c r="I262" s="11"/>
      <c r="J262" s="129" t="str">
        <f t="shared" si="24"/>
        <v/>
      </c>
      <c r="K262" s="14"/>
      <c r="L262" s="11"/>
      <c r="M262" s="15"/>
      <c r="N262" s="15"/>
      <c r="P262" t="s">
        <v>36</v>
      </c>
      <c r="Q262" s="184" t="s">
        <v>30</v>
      </c>
      <c r="R262" s="129" t="str">
        <f t="shared" si="23"/>
        <v/>
      </c>
      <c r="S262" s="3">
        <f t="shared" si="20"/>
        <v>1</v>
      </c>
      <c r="T262" s="3" t="s">
        <v>36</v>
      </c>
      <c r="U262" s="185" t="str">
        <f t="shared" si="18"/>
        <v>N/A</v>
      </c>
    </row>
    <row r="263" spans="1:21" ht="18.75" customHeight="1" x14ac:dyDescent="0.35">
      <c r="A263" s="11"/>
      <c r="B263" s="11"/>
      <c r="C263" s="11"/>
      <c r="D263" s="11"/>
      <c r="E263" s="12"/>
      <c r="F263" s="13"/>
      <c r="G263" s="13"/>
      <c r="H263" s="14"/>
      <c r="I263" s="11"/>
      <c r="J263" s="129" t="str">
        <f t="shared" si="24"/>
        <v/>
      </c>
      <c r="K263" s="14"/>
      <c r="L263" s="11"/>
      <c r="M263" s="15"/>
      <c r="N263" s="15"/>
      <c r="P263" t="s">
        <v>36</v>
      </c>
      <c r="Q263" s="184" t="s">
        <v>30</v>
      </c>
      <c r="R263" s="129" t="str">
        <f t="shared" si="23"/>
        <v/>
      </c>
      <c r="S263" s="3">
        <f t="shared" si="20"/>
        <v>1</v>
      </c>
      <c r="T263" s="3" t="s">
        <v>36</v>
      </c>
      <c r="U263" s="185" t="str">
        <f t="shared" si="18"/>
        <v>N/A</v>
      </c>
    </row>
    <row r="264" spans="1:21" ht="18.75" customHeight="1" x14ac:dyDescent="0.35">
      <c r="A264" s="11"/>
      <c r="B264" s="11"/>
      <c r="C264" s="11"/>
      <c r="D264" s="11"/>
      <c r="E264" s="12"/>
      <c r="F264" s="13"/>
      <c r="G264" s="13"/>
      <c r="H264" s="14"/>
      <c r="I264" s="11"/>
      <c r="J264" s="129" t="str">
        <f t="shared" si="24"/>
        <v/>
      </c>
      <c r="K264" s="14"/>
      <c r="L264" s="11"/>
      <c r="M264" s="15"/>
      <c r="N264" s="15"/>
      <c r="P264" t="s">
        <v>36</v>
      </c>
      <c r="Q264" s="184" t="s">
        <v>30</v>
      </c>
      <c r="R264" s="129" t="str">
        <f t="shared" si="23"/>
        <v/>
      </c>
      <c r="S264" s="3">
        <f t="shared" si="20"/>
        <v>1</v>
      </c>
      <c r="T264" s="3" t="s">
        <v>36</v>
      </c>
      <c r="U264" s="185" t="str">
        <f t="shared" si="18"/>
        <v>N/A</v>
      </c>
    </row>
    <row r="265" spans="1:21" ht="18.75" customHeight="1" x14ac:dyDescent="0.35">
      <c r="A265" s="11"/>
      <c r="B265" s="11"/>
      <c r="C265" s="11"/>
      <c r="D265" s="11"/>
      <c r="E265" s="12"/>
      <c r="F265" s="13"/>
      <c r="G265" s="13"/>
      <c r="H265" s="14"/>
      <c r="I265" s="11"/>
      <c r="J265" s="129" t="str">
        <f t="shared" si="24"/>
        <v/>
      </c>
      <c r="K265" s="14"/>
      <c r="L265" s="11"/>
      <c r="M265" s="15"/>
      <c r="N265" s="15"/>
      <c r="P265" t="s">
        <v>36</v>
      </c>
      <c r="Q265" s="184" t="s">
        <v>30</v>
      </c>
      <c r="R265" s="129" t="str">
        <f t="shared" si="23"/>
        <v/>
      </c>
      <c r="S265" s="3">
        <f t="shared" si="20"/>
        <v>1</v>
      </c>
      <c r="T265" s="3" t="s">
        <v>36</v>
      </c>
      <c r="U265" s="185" t="str">
        <f t="shared" si="18"/>
        <v>N/A</v>
      </c>
    </row>
    <row r="266" spans="1:21" ht="18.75" customHeight="1" x14ac:dyDescent="0.35">
      <c r="A266" s="11"/>
      <c r="B266" s="11"/>
      <c r="C266" s="11"/>
      <c r="D266" s="11"/>
      <c r="E266" s="12"/>
      <c r="F266" s="13"/>
      <c r="G266" s="13"/>
      <c r="H266" s="14"/>
      <c r="I266" s="11"/>
      <c r="J266" s="129" t="str">
        <f t="shared" si="24"/>
        <v/>
      </c>
      <c r="K266" s="14"/>
      <c r="L266" s="11"/>
      <c r="M266" s="15"/>
      <c r="N266" s="15"/>
      <c r="P266" t="s">
        <v>36</v>
      </c>
      <c r="Q266" s="184" t="s">
        <v>30</v>
      </c>
      <c r="R266" s="129" t="str">
        <f t="shared" si="23"/>
        <v/>
      </c>
      <c r="S266" s="3">
        <f t="shared" si="20"/>
        <v>1</v>
      </c>
      <c r="T266" s="3" t="s">
        <v>36</v>
      </c>
      <c r="U266" s="185" t="str">
        <f t="shared" si="18"/>
        <v>N/A</v>
      </c>
    </row>
    <row r="267" spans="1:21" ht="18.75" customHeight="1" x14ac:dyDescent="0.35">
      <c r="A267" s="11"/>
      <c r="B267" s="11"/>
      <c r="C267" s="11"/>
      <c r="D267" s="11"/>
      <c r="E267" s="12"/>
      <c r="F267" s="13"/>
      <c r="G267" s="13"/>
      <c r="H267" s="14"/>
      <c r="I267" s="11"/>
      <c r="J267" s="129" t="str">
        <f t="shared" si="24"/>
        <v/>
      </c>
      <c r="K267" s="14"/>
      <c r="L267" s="11"/>
      <c r="M267" s="15"/>
      <c r="N267" s="15"/>
      <c r="P267" t="s">
        <v>36</v>
      </c>
      <c r="Q267" s="184" t="s">
        <v>30</v>
      </c>
      <c r="R267" s="129" t="str">
        <f t="shared" si="23"/>
        <v/>
      </c>
      <c r="S267" s="3">
        <f t="shared" si="20"/>
        <v>1</v>
      </c>
      <c r="T267" s="3" t="s">
        <v>36</v>
      </c>
      <c r="U267" s="185" t="str">
        <f t="shared" si="18"/>
        <v>N/A</v>
      </c>
    </row>
    <row r="268" spans="1:21" ht="18.75" customHeight="1" x14ac:dyDescent="0.35">
      <c r="A268" s="11"/>
      <c r="B268" s="11"/>
      <c r="C268" s="11"/>
      <c r="D268" s="11"/>
      <c r="E268" s="12"/>
      <c r="F268" s="13"/>
      <c r="G268" s="13"/>
      <c r="H268" s="14"/>
      <c r="I268" s="11"/>
      <c r="J268" s="129" t="str">
        <f t="shared" si="24"/>
        <v/>
      </c>
      <c r="K268" s="14"/>
      <c r="L268" s="11"/>
      <c r="M268" s="15"/>
      <c r="N268" s="15"/>
      <c r="P268" t="s">
        <v>36</v>
      </c>
      <c r="Q268" s="184" t="s">
        <v>30</v>
      </c>
      <c r="R268" s="129" t="str">
        <f t="shared" si="23"/>
        <v/>
      </c>
      <c r="S268" s="3">
        <f t="shared" si="20"/>
        <v>1</v>
      </c>
      <c r="T268" s="3" t="s">
        <v>36</v>
      </c>
      <c r="U268" s="185" t="str">
        <f t="shared" si="18"/>
        <v>N/A</v>
      </c>
    </row>
    <row r="269" spans="1:21" ht="18.75" customHeight="1" x14ac:dyDescent="0.35">
      <c r="A269" s="11"/>
      <c r="B269" s="11"/>
      <c r="C269" s="11"/>
      <c r="D269" s="11"/>
      <c r="E269" s="12"/>
      <c r="F269" s="13"/>
      <c r="G269" s="13"/>
      <c r="H269" s="14"/>
      <c r="I269" s="11"/>
      <c r="J269" s="129" t="str">
        <f t="shared" si="24"/>
        <v/>
      </c>
      <c r="K269" s="14"/>
      <c r="L269" s="11"/>
      <c r="M269" s="15"/>
      <c r="N269" s="15"/>
      <c r="P269" t="s">
        <v>36</v>
      </c>
      <c r="Q269" s="184" t="s">
        <v>30</v>
      </c>
      <c r="R269" s="129" t="str">
        <f t="shared" si="23"/>
        <v/>
      </c>
      <c r="S269" s="3">
        <f t="shared" si="20"/>
        <v>1</v>
      </c>
      <c r="T269" s="3" t="s">
        <v>36</v>
      </c>
      <c r="U269" s="185" t="str">
        <f t="shared" si="18"/>
        <v>N/A</v>
      </c>
    </row>
    <row r="270" spans="1:21" ht="18.75" customHeight="1" x14ac:dyDescent="0.35">
      <c r="A270" s="11"/>
      <c r="B270" s="11"/>
      <c r="C270" s="11"/>
      <c r="D270" s="11"/>
      <c r="E270" s="12"/>
      <c r="F270" s="13"/>
      <c r="G270" s="13"/>
      <c r="H270" s="14"/>
      <c r="I270" s="11"/>
      <c r="J270" s="129" t="str">
        <f t="shared" si="24"/>
        <v/>
      </c>
      <c r="K270" s="14"/>
      <c r="L270" s="11"/>
      <c r="M270" s="15"/>
      <c r="N270" s="15"/>
      <c r="P270" t="s">
        <v>36</v>
      </c>
      <c r="Q270" s="184" t="s">
        <v>30</v>
      </c>
      <c r="R270" s="129" t="str">
        <f t="shared" si="23"/>
        <v/>
      </c>
      <c r="S270" s="3">
        <f t="shared" si="20"/>
        <v>1</v>
      </c>
      <c r="T270" s="3" t="s">
        <v>36</v>
      </c>
      <c r="U270" s="185" t="str">
        <f t="shared" si="18"/>
        <v>N/A</v>
      </c>
    </row>
    <row r="271" spans="1:21" ht="18.75" customHeight="1" x14ac:dyDescent="0.35">
      <c r="A271" s="11"/>
      <c r="B271" s="11"/>
      <c r="C271" s="11"/>
      <c r="D271" s="11"/>
      <c r="E271" s="12"/>
      <c r="F271" s="13"/>
      <c r="G271" s="13"/>
      <c r="H271" s="14"/>
      <c r="I271" s="11"/>
      <c r="J271" s="129" t="str">
        <f t="shared" si="24"/>
        <v/>
      </c>
      <c r="K271" s="14"/>
      <c r="L271" s="11"/>
      <c r="M271" s="15"/>
      <c r="N271" s="15"/>
      <c r="P271" t="s">
        <v>36</v>
      </c>
      <c r="Q271" s="184" t="s">
        <v>30</v>
      </c>
      <c r="R271" s="129" t="str">
        <f t="shared" si="23"/>
        <v/>
      </c>
      <c r="S271" s="3">
        <f t="shared" si="20"/>
        <v>1</v>
      </c>
      <c r="T271" s="3" t="s">
        <v>36</v>
      </c>
      <c r="U271" s="185" t="str">
        <f t="shared" si="18"/>
        <v>N/A</v>
      </c>
    </row>
    <row r="272" spans="1:21" ht="18.75" customHeight="1" x14ac:dyDescent="0.35">
      <c r="A272" s="11"/>
      <c r="B272" s="11"/>
      <c r="C272" s="11"/>
      <c r="D272" s="11"/>
      <c r="E272" s="12"/>
      <c r="F272" s="13"/>
      <c r="G272" s="13"/>
      <c r="H272" s="14"/>
      <c r="I272" s="11"/>
      <c r="J272" s="129" t="str">
        <f t="shared" si="24"/>
        <v/>
      </c>
      <c r="K272" s="14"/>
      <c r="L272" s="11"/>
      <c r="M272" s="15"/>
      <c r="N272" s="15"/>
      <c r="P272" t="s">
        <v>36</v>
      </c>
      <c r="Q272" s="184" t="s">
        <v>30</v>
      </c>
      <c r="R272" s="129" t="str">
        <f t="shared" si="23"/>
        <v/>
      </c>
      <c r="S272" s="3">
        <f t="shared" si="20"/>
        <v>1</v>
      </c>
      <c r="T272" s="3" t="s">
        <v>36</v>
      </c>
      <c r="U272" s="185" t="str">
        <f t="shared" si="18"/>
        <v>N/A</v>
      </c>
    </row>
    <row r="273" spans="1:21" ht="18.75" customHeight="1" x14ac:dyDescent="0.35">
      <c r="A273" s="246" t="s">
        <v>46</v>
      </c>
      <c r="B273" s="247"/>
      <c r="C273" s="247"/>
      <c r="D273" s="247"/>
      <c r="E273" s="247"/>
      <c r="F273" s="247"/>
      <c r="G273" s="247"/>
      <c r="H273" s="247"/>
      <c r="I273" s="247"/>
      <c r="J273" s="247"/>
      <c r="K273" s="247"/>
      <c r="L273" s="247"/>
      <c r="M273" s="247"/>
      <c r="N273" s="248"/>
      <c r="P273" t="s">
        <v>47</v>
      </c>
      <c r="Q273" s="184" t="s">
        <v>30</v>
      </c>
      <c r="S273" s="3">
        <f t="shared" si="20"/>
        <v>1</v>
      </c>
      <c r="T273" s="3" t="s">
        <v>47</v>
      </c>
      <c r="U273" s="185" t="str">
        <f t="shared" si="18"/>
        <v>N/A</v>
      </c>
    </row>
    <row r="274" spans="1:21" ht="18.75" customHeight="1" x14ac:dyDescent="0.35">
      <c r="A274" s="11">
        <v>54312</v>
      </c>
      <c r="B274" s="11">
        <v>2</v>
      </c>
      <c r="C274" s="11" t="s">
        <v>56</v>
      </c>
      <c r="D274" s="11" t="s">
        <v>95</v>
      </c>
      <c r="E274" s="12">
        <v>0.75</v>
      </c>
      <c r="F274" s="13">
        <v>5.4399999999999997E-2</v>
      </c>
      <c r="G274" s="131">
        <v>7.8933726999999995E-2</v>
      </c>
      <c r="H274" s="14">
        <v>0</v>
      </c>
      <c r="I274" s="11" t="s">
        <v>53</v>
      </c>
      <c r="J274" s="129" t="s">
        <v>52</v>
      </c>
      <c r="K274" s="14">
        <v>0</v>
      </c>
      <c r="L274" s="11" t="s">
        <v>52</v>
      </c>
      <c r="M274" s="15" t="s">
        <v>283</v>
      </c>
      <c r="N274" s="129" t="s">
        <v>53</v>
      </c>
      <c r="P274" t="s">
        <v>47</v>
      </c>
      <c r="Q274" s="184" t="s">
        <v>30</v>
      </c>
      <c r="R274" s="129">
        <f t="shared" ref="R274:R293" si="25">IF(A274="","",A274)</f>
        <v>54312</v>
      </c>
      <c r="S274" s="3">
        <f t="shared" si="20"/>
        <v>1</v>
      </c>
      <c r="T274" s="3" t="s">
        <v>47</v>
      </c>
      <c r="U274" s="185" t="str">
        <f t="shared" si="18"/>
        <v>N/A</v>
      </c>
    </row>
    <row r="275" spans="1:21" ht="18.75" customHeight="1" x14ac:dyDescent="0.35">
      <c r="A275" s="11">
        <v>54313</v>
      </c>
      <c r="B275" s="11">
        <v>2</v>
      </c>
      <c r="C275" s="11" t="s">
        <v>56</v>
      </c>
      <c r="D275" s="11" t="s">
        <v>95</v>
      </c>
      <c r="E275" s="12">
        <v>0.85</v>
      </c>
      <c r="F275" s="13">
        <v>5.5399999999999998E-2</v>
      </c>
      <c r="G275" s="131">
        <v>7.9104313999999995E-2</v>
      </c>
      <c r="H275" s="14">
        <v>0</v>
      </c>
      <c r="I275" s="11" t="s">
        <v>53</v>
      </c>
      <c r="J275" s="129" t="s">
        <v>52</v>
      </c>
      <c r="K275" s="14">
        <v>0</v>
      </c>
      <c r="L275" s="11" t="s">
        <v>52</v>
      </c>
      <c r="M275" s="15" t="s">
        <v>283</v>
      </c>
      <c r="N275" s="15" t="s">
        <v>53</v>
      </c>
      <c r="P275" t="s">
        <v>47</v>
      </c>
      <c r="Q275" s="184" t="s">
        <v>30</v>
      </c>
      <c r="R275" s="129">
        <f t="shared" si="25"/>
        <v>54313</v>
      </c>
      <c r="S275" s="3">
        <f t="shared" si="20"/>
        <v>1</v>
      </c>
      <c r="T275" s="3" t="s">
        <v>47</v>
      </c>
      <c r="U275" s="185" t="str">
        <f t="shared" si="18"/>
        <v>N/A</v>
      </c>
    </row>
    <row r="276" spans="1:21" ht="18.75" customHeight="1" x14ac:dyDescent="0.35">
      <c r="A276" s="11"/>
      <c r="B276" s="11"/>
      <c r="C276" s="11"/>
      <c r="D276" s="11"/>
      <c r="E276" s="12"/>
      <c r="F276" s="13"/>
      <c r="G276" s="13"/>
      <c r="H276" s="14"/>
      <c r="I276" s="11"/>
      <c r="J276" s="129"/>
      <c r="K276" s="14"/>
      <c r="L276" s="11"/>
      <c r="M276" s="15"/>
      <c r="N276" s="15"/>
      <c r="P276" t="s">
        <v>47</v>
      </c>
      <c r="Q276" s="184" t="s">
        <v>30</v>
      </c>
      <c r="R276" s="129" t="str">
        <f t="shared" si="25"/>
        <v/>
      </c>
      <c r="S276" s="3">
        <f t="shared" si="20"/>
        <v>1</v>
      </c>
      <c r="T276" s="3" t="s">
        <v>47</v>
      </c>
      <c r="U276" s="185" t="str">
        <f t="shared" si="18"/>
        <v>N/A</v>
      </c>
    </row>
    <row r="277" spans="1:21" ht="18.75" customHeight="1" x14ac:dyDescent="0.35">
      <c r="A277" s="11"/>
      <c r="B277" s="11"/>
      <c r="C277" s="11"/>
      <c r="D277" s="11"/>
      <c r="E277" s="12"/>
      <c r="F277" s="13"/>
      <c r="G277" s="13"/>
      <c r="H277" s="14"/>
      <c r="I277" s="11"/>
      <c r="J277" s="129" t="str">
        <f t="shared" ref="J277:J293" si="26">IF(A277="","","Yes")</f>
        <v/>
      </c>
      <c r="K277" s="14"/>
      <c r="L277" s="11"/>
      <c r="M277" s="15"/>
      <c r="N277" s="15"/>
      <c r="P277" t="s">
        <v>47</v>
      </c>
      <c r="Q277" s="184" t="s">
        <v>30</v>
      </c>
      <c r="R277" s="129" t="str">
        <f t="shared" si="25"/>
        <v/>
      </c>
      <c r="S277" s="3">
        <f t="shared" si="20"/>
        <v>1</v>
      </c>
      <c r="T277" s="3" t="s">
        <v>47</v>
      </c>
      <c r="U277" s="185" t="str">
        <f t="shared" si="18"/>
        <v>N/A</v>
      </c>
    </row>
    <row r="278" spans="1:21" ht="18.75" customHeight="1" x14ac:dyDescent="0.35">
      <c r="A278" s="11"/>
      <c r="B278" s="11"/>
      <c r="C278" s="11"/>
      <c r="D278" s="11"/>
      <c r="E278" s="12"/>
      <c r="F278" s="13"/>
      <c r="G278" s="13"/>
      <c r="H278" s="14"/>
      <c r="I278" s="11"/>
      <c r="J278" s="129" t="str">
        <f t="shared" si="26"/>
        <v/>
      </c>
      <c r="K278" s="14"/>
      <c r="L278" s="11"/>
      <c r="M278" s="15"/>
      <c r="N278" s="15"/>
      <c r="P278" t="s">
        <v>47</v>
      </c>
      <c r="Q278" s="184" t="s">
        <v>30</v>
      </c>
      <c r="R278" s="129" t="str">
        <f t="shared" si="25"/>
        <v/>
      </c>
      <c r="S278" s="3">
        <f t="shared" si="20"/>
        <v>1</v>
      </c>
      <c r="T278" s="3" t="s">
        <v>47</v>
      </c>
      <c r="U278" s="185" t="str">
        <f t="shared" si="18"/>
        <v>N/A</v>
      </c>
    </row>
    <row r="279" spans="1:21" ht="18.75" customHeight="1" x14ac:dyDescent="0.35">
      <c r="A279" s="11"/>
      <c r="B279" s="11"/>
      <c r="C279" s="11"/>
      <c r="D279" s="11"/>
      <c r="E279" s="12"/>
      <c r="F279" s="13"/>
      <c r="G279" s="13"/>
      <c r="H279" s="14"/>
      <c r="I279" s="11"/>
      <c r="J279" s="129" t="str">
        <f t="shared" si="26"/>
        <v/>
      </c>
      <c r="K279" s="14"/>
      <c r="L279" s="11"/>
      <c r="M279" s="15"/>
      <c r="N279" s="15"/>
      <c r="P279" t="s">
        <v>47</v>
      </c>
      <c r="Q279" s="184" t="s">
        <v>30</v>
      </c>
      <c r="R279" s="129" t="str">
        <f t="shared" si="25"/>
        <v/>
      </c>
      <c r="S279" s="3">
        <f t="shared" si="20"/>
        <v>1</v>
      </c>
      <c r="T279" s="3" t="s">
        <v>47</v>
      </c>
      <c r="U279" s="185" t="str">
        <f t="shared" si="18"/>
        <v>N/A</v>
      </c>
    </row>
    <row r="280" spans="1:21" ht="18.75" customHeight="1" x14ac:dyDescent="0.35">
      <c r="A280" s="11"/>
      <c r="B280" s="11"/>
      <c r="C280" s="11"/>
      <c r="D280" s="11"/>
      <c r="E280" s="12"/>
      <c r="F280" s="13"/>
      <c r="G280" s="13"/>
      <c r="H280" s="14"/>
      <c r="I280" s="11"/>
      <c r="J280" s="129" t="str">
        <f t="shared" si="26"/>
        <v/>
      </c>
      <c r="K280" s="14"/>
      <c r="L280" s="11"/>
      <c r="M280" s="15"/>
      <c r="N280" s="15"/>
      <c r="P280" t="s">
        <v>47</v>
      </c>
      <c r="Q280" s="184" t="s">
        <v>30</v>
      </c>
      <c r="R280" s="129" t="str">
        <f t="shared" si="25"/>
        <v/>
      </c>
      <c r="S280" s="3">
        <f t="shared" si="20"/>
        <v>1</v>
      </c>
      <c r="T280" s="3" t="s">
        <v>47</v>
      </c>
      <c r="U280" s="185" t="str">
        <f t="shared" si="18"/>
        <v>N/A</v>
      </c>
    </row>
    <row r="281" spans="1:21" ht="18.75" customHeight="1" x14ac:dyDescent="0.35">
      <c r="A281" s="11"/>
      <c r="B281" s="11"/>
      <c r="C281" s="11"/>
      <c r="D281" s="11"/>
      <c r="E281" s="12"/>
      <c r="F281" s="13"/>
      <c r="G281" s="13"/>
      <c r="H281" s="14"/>
      <c r="I281" s="11"/>
      <c r="J281" s="129" t="str">
        <f t="shared" si="26"/>
        <v/>
      </c>
      <c r="K281" s="14"/>
      <c r="L281" s="11"/>
      <c r="M281" s="15"/>
      <c r="N281" s="15"/>
      <c r="P281" t="s">
        <v>47</v>
      </c>
      <c r="Q281" s="184" t="s">
        <v>30</v>
      </c>
      <c r="R281" s="129" t="str">
        <f t="shared" si="25"/>
        <v/>
      </c>
      <c r="S281" s="3">
        <f t="shared" si="20"/>
        <v>1</v>
      </c>
      <c r="T281" s="3" t="s">
        <v>47</v>
      </c>
      <c r="U281" s="185" t="str">
        <f t="shared" si="18"/>
        <v>N/A</v>
      </c>
    </row>
    <row r="282" spans="1:21" ht="18.75" customHeight="1" x14ac:dyDescent="0.35">
      <c r="A282" s="11"/>
      <c r="B282" s="11"/>
      <c r="C282" s="11"/>
      <c r="D282" s="11"/>
      <c r="E282" s="12"/>
      <c r="F282" s="13"/>
      <c r="G282" s="13"/>
      <c r="H282" s="14"/>
      <c r="I282" s="11"/>
      <c r="J282" s="129" t="str">
        <f t="shared" si="26"/>
        <v/>
      </c>
      <c r="K282" s="14"/>
      <c r="L282" s="11"/>
      <c r="M282" s="15"/>
      <c r="N282" s="15"/>
      <c r="P282" t="s">
        <v>47</v>
      </c>
      <c r="Q282" s="184" t="s">
        <v>30</v>
      </c>
      <c r="R282" s="129" t="str">
        <f t="shared" si="25"/>
        <v/>
      </c>
      <c r="S282" s="3">
        <f t="shared" si="20"/>
        <v>1</v>
      </c>
      <c r="T282" s="3" t="s">
        <v>47</v>
      </c>
      <c r="U282" s="185" t="str">
        <f t="shared" si="18"/>
        <v>N/A</v>
      </c>
    </row>
    <row r="283" spans="1:21" ht="18.75" customHeight="1" x14ac:dyDescent="0.35">
      <c r="A283" s="11"/>
      <c r="B283" s="11"/>
      <c r="C283" s="11"/>
      <c r="D283" s="11"/>
      <c r="E283" s="12"/>
      <c r="F283" s="13"/>
      <c r="G283" s="13"/>
      <c r="H283" s="14"/>
      <c r="I283" s="11"/>
      <c r="J283" s="129" t="str">
        <f t="shared" si="26"/>
        <v/>
      </c>
      <c r="K283" s="14"/>
      <c r="L283" s="11"/>
      <c r="M283" s="15"/>
      <c r="N283" s="15"/>
      <c r="P283" t="s">
        <v>47</v>
      </c>
      <c r="Q283" s="184" t="s">
        <v>30</v>
      </c>
      <c r="R283" s="129" t="str">
        <f t="shared" si="25"/>
        <v/>
      </c>
      <c r="S283" s="3">
        <f t="shared" si="20"/>
        <v>1</v>
      </c>
      <c r="T283" s="3" t="s">
        <v>47</v>
      </c>
      <c r="U283" s="185" t="str">
        <f t="shared" si="18"/>
        <v>N/A</v>
      </c>
    </row>
    <row r="284" spans="1:21" ht="18.75" customHeight="1" x14ac:dyDescent="0.35">
      <c r="A284" s="11"/>
      <c r="B284" s="11"/>
      <c r="C284" s="11"/>
      <c r="D284" s="11"/>
      <c r="E284" s="12"/>
      <c r="F284" s="13"/>
      <c r="G284" s="13"/>
      <c r="H284" s="14"/>
      <c r="I284" s="11"/>
      <c r="J284" s="129" t="str">
        <f t="shared" si="26"/>
        <v/>
      </c>
      <c r="K284" s="14"/>
      <c r="L284" s="11"/>
      <c r="M284" s="15"/>
      <c r="N284" s="15"/>
      <c r="P284" t="s">
        <v>47</v>
      </c>
      <c r="Q284" s="184" t="s">
        <v>30</v>
      </c>
      <c r="R284" s="129" t="str">
        <f t="shared" si="25"/>
        <v/>
      </c>
      <c r="S284" s="3">
        <f t="shared" si="20"/>
        <v>1</v>
      </c>
      <c r="T284" s="3" t="s">
        <v>47</v>
      </c>
      <c r="U284" s="185" t="str">
        <f t="shared" ref="U284:U347" si="27">IF(C284="Discount",IF(OR(T284=$W$8,T284=$W$10,T284=$W$11,T284=$W$19,T284=$W$20,T284=$W$21,T284=$W$22),$AI$5-F284,$AH$5-F284),IF(C284="Tracker",F284-$AG$5,"N/A"))</f>
        <v>N/A</v>
      </c>
    </row>
    <row r="285" spans="1:21" ht="18.75" customHeight="1" x14ac:dyDescent="0.35">
      <c r="A285" s="11"/>
      <c r="B285" s="11"/>
      <c r="C285" s="11"/>
      <c r="D285" s="11"/>
      <c r="E285" s="12"/>
      <c r="F285" s="13"/>
      <c r="G285" s="13"/>
      <c r="H285" s="14"/>
      <c r="I285" s="11"/>
      <c r="J285" s="129" t="str">
        <f t="shared" si="26"/>
        <v/>
      </c>
      <c r="K285" s="14"/>
      <c r="L285" s="11"/>
      <c r="M285" s="15"/>
      <c r="N285" s="15"/>
      <c r="P285" t="s">
        <v>47</v>
      </c>
      <c r="Q285" s="184" t="s">
        <v>30</v>
      </c>
      <c r="R285" s="129" t="str">
        <f t="shared" si="25"/>
        <v/>
      </c>
      <c r="S285" s="3">
        <f t="shared" si="20"/>
        <v>1</v>
      </c>
      <c r="T285" s="3" t="s">
        <v>47</v>
      </c>
      <c r="U285" s="185" t="str">
        <f t="shared" si="27"/>
        <v>N/A</v>
      </c>
    </row>
    <row r="286" spans="1:21" ht="18.75" customHeight="1" x14ac:dyDescent="0.35">
      <c r="A286" s="11"/>
      <c r="B286" s="11"/>
      <c r="C286" s="11"/>
      <c r="D286" s="11"/>
      <c r="E286" s="12"/>
      <c r="F286" s="13"/>
      <c r="G286" s="13"/>
      <c r="H286" s="14"/>
      <c r="I286" s="11"/>
      <c r="J286" s="129" t="str">
        <f t="shared" si="26"/>
        <v/>
      </c>
      <c r="K286" s="14"/>
      <c r="L286" s="11"/>
      <c r="M286" s="15"/>
      <c r="N286" s="15"/>
      <c r="P286" t="s">
        <v>47</v>
      </c>
      <c r="Q286" s="184" t="s">
        <v>30</v>
      </c>
      <c r="R286" s="129" t="str">
        <f t="shared" si="25"/>
        <v/>
      </c>
      <c r="S286" s="3">
        <f t="shared" si="20"/>
        <v>1</v>
      </c>
      <c r="T286" s="3" t="s">
        <v>47</v>
      </c>
      <c r="U286" s="185" t="str">
        <f t="shared" si="27"/>
        <v>N/A</v>
      </c>
    </row>
    <row r="287" spans="1:21" ht="18.75" customHeight="1" x14ac:dyDescent="0.35">
      <c r="A287" s="11"/>
      <c r="B287" s="11"/>
      <c r="C287" s="11"/>
      <c r="D287" s="11"/>
      <c r="E287" s="12"/>
      <c r="F287" s="13"/>
      <c r="G287" s="13"/>
      <c r="H287" s="14"/>
      <c r="I287" s="11"/>
      <c r="J287" s="129" t="str">
        <f t="shared" si="26"/>
        <v/>
      </c>
      <c r="K287" s="14"/>
      <c r="L287" s="11"/>
      <c r="M287" s="15"/>
      <c r="N287" s="15"/>
      <c r="P287" t="s">
        <v>47</v>
      </c>
      <c r="Q287" s="184" t="s">
        <v>30</v>
      </c>
      <c r="R287" s="129" t="str">
        <f t="shared" si="25"/>
        <v/>
      </c>
      <c r="S287" s="3">
        <f t="shared" si="20"/>
        <v>1</v>
      </c>
      <c r="T287" s="3" t="s">
        <v>47</v>
      </c>
      <c r="U287" s="185" t="str">
        <f t="shared" si="27"/>
        <v>N/A</v>
      </c>
    </row>
    <row r="288" spans="1:21" ht="18.75" customHeight="1" x14ac:dyDescent="0.35">
      <c r="A288" s="11"/>
      <c r="B288" s="11"/>
      <c r="C288" s="11"/>
      <c r="D288" s="11"/>
      <c r="E288" s="12"/>
      <c r="F288" s="13"/>
      <c r="G288" s="13"/>
      <c r="H288" s="14"/>
      <c r="I288" s="11"/>
      <c r="J288" s="129" t="str">
        <f t="shared" si="26"/>
        <v/>
      </c>
      <c r="K288" s="14"/>
      <c r="L288" s="11"/>
      <c r="M288" s="15"/>
      <c r="N288" s="15"/>
      <c r="P288" t="s">
        <v>47</v>
      </c>
      <c r="Q288" s="184" t="s">
        <v>30</v>
      </c>
      <c r="R288" s="129" t="str">
        <f t="shared" si="25"/>
        <v/>
      </c>
      <c r="S288" s="3">
        <f t="shared" si="20"/>
        <v>1</v>
      </c>
      <c r="T288" s="3" t="s">
        <v>47</v>
      </c>
      <c r="U288" s="185" t="str">
        <f t="shared" si="27"/>
        <v>N/A</v>
      </c>
    </row>
    <row r="289" spans="1:21" ht="18.75" customHeight="1" x14ac:dyDescent="0.35">
      <c r="A289" s="11"/>
      <c r="B289" s="11"/>
      <c r="C289" s="11"/>
      <c r="D289" s="11"/>
      <c r="E289" s="12"/>
      <c r="F289" s="13"/>
      <c r="G289" s="13"/>
      <c r="H289" s="14"/>
      <c r="I289" s="11"/>
      <c r="J289" s="129" t="str">
        <f t="shared" si="26"/>
        <v/>
      </c>
      <c r="K289" s="14"/>
      <c r="L289" s="11"/>
      <c r="M289" s="15"/>
      <c r="N289" s="15"/>
      <c r="P289" t="s">
        <v>47</v>
      </c>
      <c r="Q289" s="184" t="s">
        <v>30</v>
      </c>
      <c r="R289" s="129" t="str">
        <f t="shared" si="25"/>
        <v/>
      </c>
      <c r="S289" s="3">
        <f t="shared" si="20"/>
        <v>1</v>
      </c>
      <c r="T289" s="3" t="s">
        <v>47</v>
      </c>
      <c r="U289" s="185" t="str">
        <f t="shared" si="27"/>
        <v>N/A</v>
      </c>
    </row>
    <row r="290" spans="1:21" ht="18.75" customHeight="1" x14ac:dyDescent="0.35">
      <c r="A290" s="11"/>
      <c r="B290" s="11"/>
      <c r="C290" s="11"/>
      <c r="D290" s="11"/>
      <c r="E290" s="12"/>
      <c r="F290" s="13"/>
      <c r="G290" s="13"/>
      <c r="H290" s="14"/>
      <c r="I290" s="11"/>
      <c r="J290" s="129" t="str">
        <f t="shared" si="26"/>
        <v/>
      </c>
      <c r="K290" s="14"/>
      <c r="L290" s="11"/>
      <c r="M290" s="15"/>
      <c r="N290" s="15"/>
      <c r="P290" t="s">
        <v>47</v>
      </c>
      <c r="Q290" s="184" t="s">
        <v>30</v>
      </c>
      <c r="R290" s="129" t="str">
        <f t="shared" si="25"/>
        <v/>
      </c>
      <c r="S290" s="3">
        <f t="shared" si="20"/>
        <v>1</v>
      </c>
      <c r="T290" s="3" t="s">
        <v>47</v>
      </c>
      <c r="U290" s="185" t="str">
        <f t="shared" si="27"/>
        <v>N/A</v>
      </c>
    </row>
    <row r="291" spans="1:21" ht="18.75" customHeight="1" x14ac:dyDescent="0.35">
      <c r="A291" s="11"/>
      <c r="B291" s="11"/>
      <c r="C291" s="11"/>
      <c r="D291" s="11"/>
      <c r="E291" s="12"/>
      <c r="F291" s="13"/>
      <c r="G291" s="13"/>
      <c r="H291" s="14"/>
      <c r="I291" s="11"/>
      <c r="J291" s="129" t="str">
        <f t="shared" si="26"/>
        <v/>
      </c>
      <c r="K291" s="14"/>
      <c r="L291" s="11"/>
      <c r="M291" s="15"/>
      <c r="N291" s="15"/>
      <c r="P291" t="s">
        <v>47</v>
      </c>
      <c r="Q291" s="184" t="s">
        <v>30</v>
      </c>
      <c r="R291" s="129" t="str">
        <f t="shared" si="25"/>
        <v/>
      </c>
      <c r="S291" s="3">
        <f t="shared" si="20"/>
        <v>1</v>
      </c>
      <c r="T291" s="3" t="s">
        <v>47</v>
      </c>
      <c r="U291" s="185" t="str">
        <f t="shared" si="27"/>
        <v>N/A</v>
      </c>
    </row>
    <row r="292" spans="1:21" ht="18.75" customHeight="1" x14ac:dyDescent="0.35">
      <c r="A292" s="11"/>
      <c r="B292" s="11"/>
      <c r="C292" s="11"/>
      <c r="D292" s="11"/>
      <c r="E292" s="12"/>
      <c r="F292" s="13"/>
      <c r="G292" s="13"/>
      <c r="H292" s="14"/>
      <c r="I292" s="11"/>
      <c r="J292" s="129" t="str">
        <f t="shared" si="26"/>
        <v/>
      </c>
      <c r="K292" s="14"/>
      <c r="L292" s="11"/>
      <c r="M292" s="15"/>
      <c r="N292" s="15"/>
      <c r="P292" t="s">
        <v>47</v>
      </c>
      <c r="Q292" s="184" t="s">
        <v>30</v>
      </c>
      <c r="R292" s="129" t="str">
        <f t="shared" si="25"/>
        <v/>
      </c>
      <c r="S292" s="3">
        <f t="shared" si="20"/>
        <v>1</v>
      </c>
      <c r="T292" s="3" t="s">
        <v>47</v>
      </c>
      <c r="U292" s="185" t="str">
        <f t="shared" si="27"/>
        <v>N/A</v>
      </c>
    </row>
    <row r="293" spans="1:21" ht="18.75" customHeight="1" x14ac:dyDescent="0.35">
      <c r="A293" s="11"/>
      <c r="B293" s="11"/>
      <c r="C293" s="11"/>
      <c r="D293" s="11"/>
      <c r="E293" s="12"/>
      <c r="F293" s="13"/>
      <c r="G293" s="13"/>
      <c r="H293" s="14"/>
      <c r="I293" s="11"/>
      <c r="J293" s="129" t="str">
        <f t="shared" si="26"/>
        <v/>
      </c>
      <c r="K293" s="14"/>
      <c r="L293" s="11"/>
      <c r="M293" s="15"/>
      <c r="N293" s="15"/>
      <c r="P293" t="s">
        <v>47</v>
      </c>
      <c r="Q293" s="184" t="s">
        <v>30</v>
      </c>
      <c r="R293" s="129" t="str">
        <f t="shared" si="25"/>
        <v/>
      </c>
      <c r="S293" s="3">
        <f t="shared" si="20"/>
        <v>1</v>
      </c>
      <c r="T293" s="3" t="s">
        <v>47</v>
      </c>
      <c r="U293" s="185" t="str">
        <f t="shared" si="27"/>
        <v>N/A</v>
      </c>
    </row>
    <row r="294" spans="1:21" ht="18.75" customHeight="1" x14ac:dyDescent="0.35">
      <c r="A294" s="246" t="s">
        <v>45</v>
      </c>
      <c r="B294" s="247"/>
      <c r="C294" s="247"/>
      <c r="D294" s="247"/>
      <c r="E294" s="247"/>
      <c r="F294" s="247"/>
      <c r="G294" s="247"/>
      <c r="H294" s="247"/>
      <c r="I294" s="247"/>
      <c r="J294" s="247"/>
      <c r="K294" s="247"/>
      <c r="L294" s="247"/>
      <c r="M294" s="247"/>
      <c r="N294" s="248"/>
      <c r="P294" t="s">
        <v>37</v>
      </c>
      <c r="Q294" s="184" t="s">
        <v>30</v>
      </c>
      <c r="S294" s="3">
        <f t="shared" si="20"/>
        <v>1</v>
      </c>
      <c r="T294" s="3" t="s">
        <v>37</v>
      </c>
      <c r="U294" s="185" t="str">
        <f t="shared" si="27"/>
        <v>N/A</v>
      </c>
    </row>
    <row r="295" spans="1:21" ht="18.75" customHeight="1" x14ac:dyDescent="0.35">
      <c r="A295" s="11"/>
      <c r="B295" s="11"/>
      <c r="C295" s="11"/>
      <c r="D295" s="11"/>
      <c r="E295" s="12"/>
      <c r="F295" s="13"/>
      <c r="G295" s="13"/>
      <c r="H295" s="14"/>
      <c r="I295" s="11"/>
      <c r="J295" s="129" t="str">
        <f t="shared" ref="J295:J314" si="28">IF(A295="","","Yes")</f>
        <v/>
      </c>
      <c r="K295" s="14"/>
      <c r="L295" s="11"/>
      <c r="M295" s="15"/>
      <c r="N295" s="129"/>
      <c r="P295" t="s">
        <v>37</v>
      </c>
      <c r="Q295" s="184" t="s">
        <v>30</v>
      </c>
      <c r="R295" s="129" t="str">
        <f t="shared" ref="R295:R314" si="29">IF(A295="","",A295)</f>
        <v/>
      </c>
      <c r="S295" s="3">
        <f t="shared" si="20"/>
        <v>1</v>
      </c>
      <c r="T295" s="3" t="s">
        <v>37</v>
      </c>
      <c r="U295" s="185" t="str">
        <f t="shared" si="27"/>
        <v>N/A</v>
      </c>
    </row>
    <row r="296" spans="1:21" ht="18.75" customHeight="1" x14ac:dyDescent="0.35">
      <c r="A296" s="11"/>
      <c r="B296" s="11"/>
      <c r="C296" s="11"/>
      <c r="D296" s="11"/>
      <c r="E296" s="12"/>
      <c r="F296" s="13"/>
      <c r="G296" s="13"/>
      <c r="H296" s="14"/>
      <c r="I296" s="11"/>
      <c r="J296" s="129" t="str">
        <f t="shared" si="28"/>
        <v/>
      </c>
      <c r="K296" s="14"/>
      <c r="L296" s="11"/>
      <c r="M296" s="15"/>
      <c r="N296" s="15"/>
      <c r="P296" t="s">
        <v>37</v>
      </c>
      <c r="Q296" s="184" t="s">
        <v>30</v>
      </c>
      <c r="R296" s="129" t="str">
        <f t="shared" si="29"/>
        <v/>
      </c>
      <c r="S296" s="3">
        <f t="shared" si="20"/>
        <v>1</v>
      </c>
      <c r="T296" s="3" t="s">
        <v>37</v>
      </c>
      <c r="U296" s="185" t="str">
        <f t="shared" si="27"/>
        <v>N/A</v>
      </c>
    </row>
    <row r="297" spans="1:21" ht="18.75" customHeight="1" x14ac:dyDescent="0.35">
      <c r="A297" s="11"/>
      <c r="B297" s="11"/>
      <c r="C297" s="11"/>
      <c r="D297" s="11"/>
      <c r="E297" s="12"/>
      <c r="F297" s="13"/>
      <c r="G297" s="13"/>
      <c r="H297" s="14"/>
      <c r="I297" s="11"/>
      <c r="J297" s="129" t="str">
        <f t="shared" si="28"/>
        <v/>
      </c>
      <c r="K297" s="14"/>
      <c r="L297" s="11"/>
      <c r="M297" s="15"/>
      <c r="N297" s="15"/>
      <c r="P297" t="s">
        <v>37</v>
      </c>
      <c r="Q297" s="184" t="s">
        <v>30</v>
      </c>
      <c r="R297" s="129" t="str">
        <f t="shared" si="29"/>
        <v/>
      </c>
      <c r="S297" s="3">
        <f t="shared" si="20"/>
        <v>1</v>
      </c>
      <c r="T297" s="3" t="s">
        <v>37</v>
      </c>
      <c r="U297" s="185" t="str">
        <f t="shared" si="27"/>
        <v>N/A</v>
      </c>
    </row>
    <row r="298" spans="1:21" ht="18.75" customHeight="1" x14ac:dyDescent="0.35">
      <c r="A298" s="11"/>
      <c r="B298" s="11"/>
      <c r="C298" s="11"/>
      <c r="D298" s="11"/>
      <c r="E298" s="12"/>
      <c r="F298" s="13"/>
      <c r="G298" s="13"/>
      <c r="H298" s="14"/>
      <c r="I298" s="11"/>
      <c r="J298" s="129" t="str">
        <f t="shared" si="28"/>
        <v/>
      </c>
      <c r="K298" s="14"/>
      <c r="L298" s="11"/>
      <c r="M298" s="15"/>
      <c r="N298" s="15"/>
      <c r="P298" t="s">
        <v>37</v>
      </c>
      <c r="Q298" s="184" t="s">
        <v>30</v>
      </c>
      <c r="R298" s="129" t="str">
        <f t="shared" si="29"/>
        <v/>
      </c>
      <c r="S298" s="3">
        <f t="shared" si="20"/>
        <v>1</v>
      </c>
      <c r="T298" s="3" t="s">
        <v>37</v>
      </c>
      <c r="U298" s="185" t="str">
        <f t="shared" si="27"/>
        <v>N/A</v>
      </c>
    </row>
    <row r="299" spans="1:21" ht="18.75" customHeight="1" x14ac:dyDescent="0.35">
      <c r="A299" s="11"/>
      <c r="B299" s="11"/>
      <c r="C299" s="11"/>
      <c r="D299" s="11"/>
      <c r="E299" s="12"/>
      <c r="F299" s="13"/>
      <c r="G299" s="13"/>
      <c r="H299" s="14"/>
      <c r="I299" s="11"/>
      <c r="J299" s="129" t="str">
        <f t="shared" si="28"/>
        <v/>
      </c>
      <c r="K299" s="14"/>
      <c r="L299" s="11"/>
      <c r="M299" s="15"/>
      <c r="N299" s="15"/>
      <c r="P299" t="s">
        <v>37</v>
      </c>
      <c r="Q299" s="184" t="s">
        <v>30</v>
      </c>
      <c r="R299" s="129" t="str">
        <f t="shared" si="29"/>
        <v/>
      </c>
      <c r="S299" s="3">
        <f t="shared" si="20"/>
        <v>1</v>
      </c>
      <c r="T299" s="3" t="s">
        <v>37</v>
      </c>
      <c r="U299" s="185" t="str">
        <f t="shared" si="27"/>
        <v>N/A</v>
      </c>
    </row>
    <row r="300" spans="1:21" ht="18.75" customHeight="1" x14ac:dyDescent="0.35">
      <c r="A300" s="11"/>
      <c r="B300" s="11"/>
      <c r="C300" s="11"/>
      <c r="D300" s="11"/>
      <c r="E300" s="12"/>
      <c r="F300" s="13"/>
      <c r="G300" s="13"/>
      <c r="H300" s="14"/>
      <c r="I300" s="11"/>
      <c r="J300" s="129" t="str">
        <f t="shared" si="28"/>
        <v/>
      </c>
      <c r="K300" s="14"/>
      <c r="L300" s="11"/>
      <c r="M300" s="15"/>
      <c r="N300" s="15"/>
      <c r="P300" t="s">
        <v>37</v>
      </c>
      <c r="Q300" s="184" t="s">
        <v>30</v>
      </c>
      <c r="R300" s="129" t="str">
        <f t="shared" si="29"/>
        <v/>
      </c>
      <c r="S300" s="3">
        <f t="shared" ref="S300:S362" si="30">IF(OR($C$2="",$C$2="Residential"),1,0)</f>
        <v>1</v>
      </c>
      <c r="T300" s="3" t="s">
        <v>37</v>
      </c>
      <c r="U300" s="185" t="str">
        <f t="shared" si="27"/>
        <v>N/A</v>
      </c>
    </row>
    <row r="301" spans="1:21" ht="18.75" customHeight="1" x14ac:dyDescent="0.35">
      <c r="A301" s="11"/>
      <c r="B301" s="11"/>
      <c r="C301" s="11"/>
      <c r="D301" s="11"/>
      <c r="E301" s="12"/>
      <c r="F301" s="13"/>
      <c r="G301" s="13"/>
      <c r="H301" s="14"/>
      <c r="I301" s="11"/>
      <c r="J301" s="129" t="str">
        <f t="shared" si="28"/>
        <v/>
      </c>
      <c r="K301" s="14"/>
      <c r="L301" s="11"/>
      <c r="M301" s="15"/>
      <c r="N301" s="15"/>
      <c r="P301" t="s">
        <v>37</v>
      </c>
      <c r="Q301" s="184" t="s">
        <v>30</v>
      </c>
      <c r="R301" s="129" t="str">
        <f t="shared" si="29"/>
        <v/>
      </c>
      <c r="S301" s="3">
        <f t="shared" si="30"/>
        <v>1</v>
      </c>
      <c r="T301" s="3" t="s">
        <v>37</v>
      </c>
      <c r="U301" s="185" t="str">
        <f t="shared" si="27"/>
        <v>N/A</v>
      </c>
    </row>
    <row r="302" spans="1:21" ht="18.75" customHeight="1" x14ac:dyDescent="0.35">
      <c r="A302" s="11"/>
      <c r="B302" s="11"/>
      <c r="C302" s="11"/>
      <c r="D302" s="11"/>
      <c r="E302" s="12"/>
      <c r="F302" s="13"/>
      <c r="G302" s="13"/>
      <c r="H302" s="14"/>
      <c r="I302" s="11"/>
      <c r="J302" s="129" t="str">
        <f t="shared" si="28"/>
        <v/>
      </c>
      <c r="K302" s="14"/>
      <c r="L302" s="11"/>
      <c r="M302" s="15"/>
      <c r="N302" s="15"/>
      <c r="P302" t="s">
        <v>37</v>
      </c>
      <c r="Q302" s="184" t="s">
        <v>30</v>
      </c>
      <c r="R302" s="129" t="str">
        <f t="shared" si="29"/>
        <v/>
      </c>
      <c r="S302" s="3">
        <f t="shared" si="30"/>
        <v>1</v>
      </c>
      <c r="T302" s="3" t="s">
        <v>37</v>
      </c>
      <c r="U302" s="185" t="str">
        <f t="shared" si="27"/>
        <v>N/A</v>
      </c>
    </row>
    <row r="303" spans="1:21" ht="18.75" customHeight="1" x14ac:dyDescent="0.35">
      <c r="A303" s="11"/>
      <c r="B303" s="11"/>
      <c r="C303" s="11"/>
      <c r="D303" s="11"/>
      <c r="E303" s="12"/>
      <c r="F303" s="13"/>
      <c r="G303" s="13"/>
      <c r="H303" s="14"/>
      <c r="I303" s="11"/>
      <c r="J303" s="129" t="str">
        <f t="shared" si="28"/>
        <v/>
      </c>
      <c r="K303" s="14"/>
      <c r="L303" s="11"/>
      <c r="M303" s="15"/>
      <c r="N303" s="15"/>
      <c r="P303" t="s">
        <v>37</v>
      </c>
      <c r="Q303" s="184" t="s">
        <v>30</v>
      </c>
      <c r="R303" s="129" t="str">
        <f t="shared" si="29"/>
        <v/>
      </c>
      <c r="S303" s="3">
        <f t="shared" si="30"/>
        <v>1</v>
      </c>
      <c r="T303" s="3" t="s">
        <v>37</v>
      </c>
      <c r="U303" s="185" t="str">
        <f t="shared" si="27"/>
        <v>N/A</v>
      </c>
    </row>
    <row r="304" spans="1:21" ht="18.75" customHeight="1" x14ac:dyDescent="0.35">
      <c r="A304" s="11"/>
      <c r="B304" s="11"/>
      <c r="C304" s="11"/>
      <c r="D304" s="11"/>
      <c r="E304" s="12"/>
      <c r="F304" s="13"/>
      <c r="G304" s="13"/>
      <c r="H304" s="14"/>
      <c r="I304" s="11"/>
      <c r="J304" s="129" t="str">
        <f t="shared" si="28"/>
        <v/>
      </c>
      <c r="K304" s="14"/>
      <c r="L304" s="11"/>
      <c r="M304" s="15"/>
      <c r="N304" s="15"/>
      <c r="P304" t="s">
        <v>37</v>
      </c>
      <c r="Q304" s="184" t="s">
        <v>30</v>
      </c>
      <c r="R304" s="129" t="str">
        <f t="shared" si="29"/>
        <v/>
      </c>
      <c r="S304" s="3">
        <f t="shared" si="30"/>
        <v>1</v>
      </c>
      <c r="T304" s="3" t="s">
        <v>37</v>
      </c>
      <c r="U304" s="185" t="str">
        <f t="shared" si="27"/>
        <v>N/A</v>
      </c>
    </row>
    <row r="305" spans="1:21" ht="18.75" customHeight="1" x14ac:dyDescent="0.35">
      <c r="A305" s="11"/>
      <c r="B305" s="11"/>
      <c r="C305" s="11"/>
      <c r="D305" s="11"/>
      <c r="E305" s="12"/>
      <c r="F305" s="13"/>
      <c r="G305" s="13"/>
      <c r="H305" s="14"/>
      <c r="I305" s="11"/>
      <c r="J305" s="129" t="str">
        <f t="shared" si="28"/>
        <v/>
      </c>
      <c r="K305" s="14"/>
      <c r="L305" s="11"/>
      <c r="M305" s="15"/>
      <c r="N305" s="15"/>
      <c r="P305" t="s">
        <v>37</v>
      </c>
      <c r="Q305" s="184" t="s">
        <v>30</v>
      </c>
      <c r="R305" s="129" t="str">
        <f t="shared" si="29"/>
        <v/>
      </c>
      <c r="S305" s="3">
        <f t="shared" si="30"/>
        <v>1</v>
      </c>
      <c r="T305" s="3" t="s">
        <v>37</v>
      </c>
      <c r="U305" s="185" t="str">
        <f t="shared" si="27"/>
        <v>N/A</v>
      </c>
    </row>
    <row r="306" spans="1:21" ht="18.75" customHeight="1" x14ac:dyDescent="0.35">
      <c r="A306" s="11"/>
      <c r="B306" s="11"/>
      <c r="C306" s="11"/>
      <c r="D306" s="11"/>
      <c r="E306" s="12"/>
      <c r="F306" s="13"/>
      <c r="G306" s="13"/>
      <c r="H306" s="14"/>
      <c r="I306" s="11"/>
      <c r="J306" s="129" t="str">
        <f t="shared" si="28"/>
        <v/>
      </c>
      <c r="K306" s="14"/>
      <c r="L306" s="11"/>
      <c r="M306" s="15"/>
      <c r="N306" s="15"/>
      <c r="P306" t="s">
        <v>37</v>
      </c>
      <c r="Q306" s="184" t="s">
        <v>30</v>
      </c>
      <c r="R306" s="129" t="str">
        <f t="shared" si="29"/>
        <v/>
      </c>
      <c r="S306" s="3">
        <f t="shared" si="30"/>
        <v>1</v>
      </c>
      <c r="T306" s="3" t="s">
        <v>37</v>
      </c>
      <c r="U306" s="185" t="str">
        <f t="shared" si="27"/>
        <v>N/A</v>
      </c>
    </row>
    <row r="307" spans="1:21" ht="18.75" customHeight="1" x14ac:dyDescent="0.35">
      <c r="A307" s="11"/>
      <c r="B307" s="11"/>
      <c r="C307" s="11"/>
      <c r="D307" s="11"/>
      <c r="E307" s="12"/>
      <c r="F307" s="13"/>
      <c r="G307" s="13"/>
      <c r="H307" s="14"/>
      <c r="I307" s="11"/>
      <c r="J307" s="129" t="str">
        <f t="shared" si="28"/>
        <v/>
      </c>
      <c r="K307" s="14"/>
      <c r="L307" s="11"/>
      <c r="M307" s="15"/>
      <c r="N307" s="15"/>
      <c r="P307" t="s">
        <v>37</v>
      </c>
      <c r="Q307" s="184" t="s">
        <v>30</v>
      </c>
      <c r="R307" s="129" t="str">
        <f t="shared" si="29"/>
        <v/>
      </c>
      <c r="S307" s="3">
        <f t="shared" si="30"/>
        <v>1</v>
      </c>
      <c r="T307" s="3" t="s">
        <v>37</v>
      </c>
      <c r="U307" s="185" t="str">
        <f t="shared" si="27"/>
        <v>N/A</v>
      </c>
    </row>
    <row r="308" spans="1:21" ht="18.75" customHeight="1" x14ac:dyDescent="0.35">
      <c r="A308" s="11"/>
      <c r="B308" s="11"/>
      <c r="C308" s="11"/>
      <c r="D308" s="11"/>
      <c r="E308" s="12"/>
      <c r="F308" s="13"/>
      <c r="G308" s="13"/>
      <c r="H308" s="14"/>
      <c r="I308" s="11"/>
      <c r="J308" s="129" t="str">
        <f t="shared" si="28"/>
        <v/>
      </c>
      <c r="K308" s="14"/>
      <c r="L308" s="11"/>
      <c r="M308" s="15"/>
      <c r="N308" s="15"/>
      <c r="P308" t="s">
        <v>37</v>
      </c>
      <c r="Q308" s="184" t="s">
        <v>30</v>
      </c>
      <c r="R308" s="129" t="str">
        <f t="shared" si="29"/>
        <v/>
      </c>
      <c r="S308" s="3">
        <f t="shared" si="30"/>
        <v>1</v>
      </c>
      <c r="T308" s="3" t="s">
        <v>37</v>
      </c>
      <c r="U308" s="185" t="str">
        <f t="shared" si="27"/>
        <v>N/A</v>
      </c>
    </row>
    <row r="309" spans="1:21" ht="18.75" customHeight="1" x14ac:dyDescent="0.35">
      <c r="A309" s="11"/>
      <c r="B309" s="11"/>
      <c r="C309" s="11"/>
      <c r="D309" s="11"/>
      <c r="E309" s="12"/>
      <c r="F309" s="13"/>
      <c r="G309" s="13"/>
      <c r="H309" s="14"/>
      <c r="I309" s="11"/>
      <c r="J309" s="129" t="str">
        <f t="shared" si="28"/>
        <v/>
      </c>
      <c r="K309" s="14"/>
      <c r="L309" s="11"/>
      <c r="M309" s="15"/>
      <c r="N309" s="15"/>
      <c r="P309" t="s">
        <v>37</v>
      </c>
      <c r="Q309" s="184" t="s">
        <v>30</v>
      </c>
      <c r="R309" s="129" t="str">
        <f t="shared" si="29"/>
        <v/>
      </c>
      <c r="S309" s="3">
        <f t="shared" si="30"/>
        <v>1</v>
      </c>
      <c r="T309" s="3" t="s">
        <v>37</v>
      </c>
      <c r="U309" s="185" t="str">
        <f t="shared" si="27"/>
        <v>N/A</v>
      </c>
    </row>
    <row r="310" spans="1:21" ht="18.75" customHeight="1" x14ac:dyDescent="0.35">
      <c r="A310" s="11"/>
      <c r="B310" s="11"/>
      <c r="C310" s="11"/>
      <c r="D310" s="11"/>
      <c r="E310" s="12"/>
      <c r="F310" s="13"/>
      <c r="G310" s="13"/>
      <c r="H310" s="14"/>
      <c r="I310" s="11"/>
      <c r="J310" s="129" t="str">
        <f t="shared" si="28"/>
        <v/>
      </c>
      <c r="K310" s="14"/>
      <c r="L310" s="11"/>
      <c r="M310" s="15"/>
      <c r="N310" s="15"/>
      <c r="P310" t="s">
        <v>37</v>
      </c>
      <c r="Q310" s="184" t="s">
        <v>30</v>
      </c>
      <c r="R310" s="129" t="str">
        <f t="shared" si="29"/>
        <v/>
      </c>
      <c r="S310" s="3">
        <f t="shared" si="30"/>
        <v>1</v>
      </c>
      <c r="T310" s="3" t="s">
        <v>37</v>
      </c>
      <c r="U310" s="185" t="str">
        <f t="shared" si="27"/>
        <v>N/A</v>
      </c>
    </row>
    <row r="311" spans="1:21" ht="18.75" customHeight="1" x14ac:dyDescent="0.35">
      <c r="A311" s="11"/>
      <c r="B311" s="11"/>
      <c r="C311" s="11"/>
      <c r="D311" s="11"/>
      <c r="E311" s="12"/>
      <c r="F311" s="13"/>
      <c r="G311" s="13"/>
      <c r="H311" s="14"/>
      <c r="I311" s="11"/>
      <c r="J311" s="129" t="str">
        <f t="shared" si="28"/>
        <v/>
      </c>
      <c r="K311" s="14"/>
      <c r="L311" s="11"/>
      <c r="M311" s="15"/>
      <c r="N311" s="15"/>
      <c r="P311" t="s">
        <v>37</v>
      </c>
      <c r="Q311" s="184" t="s">
        <v>30</v>
      </c>
      <c r="R311" s="129" t="str">
        <f t="shared" si="29"/>
        <v/>
      </c>
      <c r="S311" s="3">
        <f t="shared" si="30"/>
        <v>1</v>
      </c>
      <c r="T311" s="3" t="s">
        <v>37</v>
      </c>
      <c r="U311" s="185" t="str">
        <f t="shared" si="27"/>
        <v>N/A</v>
      </c>
    </row>
    <row r="312" spans="1:21" ht="18.75" customHeight="1" x14ac:dyDescent="0.35">
      <c r="A312" s="11"/>
      <c r="B312" s="11"/>
      <c r="C312" s="11"/>
      <c r="D312" s="11"/>
      <c r="E312" s="12"/>
      <c r="F312" s="13"/>
      <c r="G312" s="13"/>
      <c r="H312" s="14"/>
      <c r="I312" s="11"/>
      <c r="J312" s="129" t="str">
        <f t="shared" si="28"/>
        <v/>
      </c>
      <c r="K312" s="14"/>
      <c r="L312" s="11"/>
      <c r="M312" s="15"/>
      <c r="N312" s="15"/>
      <c r="P312" t="s">
        <v>37</v>
      </c>
      <c r="Q312" s="184" t="s">
        <v>30</v>
      </c>
      <c r="R312" s="129" t="str">
        <f t="shared" si="29"/>
        <v/>
      </c>
      <c r="S312" s="3">
        <f t="shared" si="30"/>
        <v>1</v>
      </c>
      <c r="T312" s="3" t="s">
        <v>37</v>
      </c>
      <c r="U312" s="185" t="str">
        <f t="shared" si="27"/>
        <v>N/A</v>
      </c>
    </row>
    <row r="313" spans="1:21" ht="18.75" customHeight="1" x14ac:dyDescent="0.35">
      <c r="A313" s="11"/>
      <c r="B313" s="11"/>
      <c r="C313" s="11"/>
      <c r="D313" s="11"/>
      <c r="E313" s="12"/>
      <c r="F313" s="13"/>
      <c r="G313" s="13"/>
      <c r="H313" s="14"/>
      <c r="I313" s="11"/>
      <c r="J313" s="129" t="str">
        <f t="shared" si="28"/>
        <v/>
      </c>
      <c r="K313" s="14"/>
      <c r="L313" s="11"/>
      <c r="M313" s="15"/>
      <c r="N313" s="15"/>
      <c r="P313" t="s">
        <v>37</v>
      </c>
      <c r="Q313" s="184" t="s">
        <v>30</v>
      </c>
      <c r="R313" s="129" t="str">
        <f t="shared" si="29"/>
        <v/>
      </c>
      <c r="S313" s="3">
        <f t="shared" si="30"/>
        <v>1</v>
      </c>
      <c r="T313" s="3" t="s">
        <v>37</v>
      </c>
      <c r="U313" s="185" t="str">
        <f t="shared" si="27"/>
        <v>N/A</v>
      </c>
    </row>
    <row r="314" spans="1:21" ht="18.75" customHeight="1" x14ac:dyDescent="0.35">
      <c r="A314" s="11"/>
      <c r="B314" s="11"/>
      <c r="C314" s="11"/>
      <c r="D314" s="11"/>
      <c r="E314" s="12"/>
      <c r="F314" s="13"/>
      <c r="G314" s="13"/>
      <c r="H314" s="14"/>
      <c r="I314" s="11"/>
      <c r="J314" s="129" t="str">
        <f t="shared" si="28"/>
        <v/>
      </c>
      <c r="K314" s="14"/>
      <c r="L314" s="11"/>
      <c r="M314" s="15"/>
      <c r="N314" s="15"/>
      <c r="P314" t="s">
        <v>37</v>
      </c>
      <c r="Q314" s="184" t="s">
        <v>30</v>
      </c>
      <c r="R314" s="129" t="str">
        <f t="shared" si="29"/>
        <v/>
      </c>
      <c r="S314" s="3">
        <f t="shared" si="30"/>
        <v>1</v>
      </c>
      <c r="T314" s="3" t="s">
        <v>37</v>
      </c>
      <c r="U314" s="185" t="str">
        <f t="shared" si="27"/>
        <v>N/A</v>
      </c>
    </row>
    <row r="315" spans="1:21" ht="18.75" customHeight="1" x14ac:dyDescent="0.35">
      <c r="A315" s="246" t="s">
        <v>39</v>
      </c>
      <c r="B315" s="247"/>
      <c r="C315" s="247"/>
      <c r="D315" s="247"/>
      <c r="E315" s="247"/>
      <c r="F315" s="247"/>
      <c r="G315" s="247"/>
      <c r="H315" s="247"/>
      <c r="I315" s="247"/>
      <c r="J315" s="247"/>
      <c r="K315" s="247"/>
      <c r="L315" s="247"/>
      <c r="M315" s="247"/>
      <c r="N315" s="248"/>
      <c r="P315"/>
      <c r="Q315"/>
      <c r="S315" s="3">
        <f t="shared" si="30"/>
        <v>1</v>
      </c>
      <c r="T315" s="3" t="s">
        <v>39</v>
      </c>
      <c r="U315" s="185" t="str">
        <f t="shared" si="27"/>
        <v>N/A</v>
      </c>
    </row>
    <row r="316" spans="1:21" ht="18.75" customHeight="1" x14ac:dyDescent="0.35">
      <c r="A316" s="11"/>
      <c r="B316" s="11"/>
      <c r="C316" s="11"/>
      <c r="D316" s="11"/>
      <c r="E316" s="12"/>
      <c r="F316" s="13"/>
      <c r="G316" s="13"/>
      <c r="H316" s="14"/>
      <c r="I316" s="11"/>
      <c r="J316" s="129" t="str">
        <f t="shared" ref="J316:J317" si="31">IF(A316="","","Yes")</f>
        <v/>
      </c>
      <c r="K316" s="14"/>
      <c r="L316" s="11"/>
      <c r="M316" s="15"/>
      <c r="N316" s="15"/>
      <c r="P316"/>
      <c r="Q316"/>
      <c r="R316" s="129" t="str">
        <f t="shared" ref="R316:R317" si="32">IF(A316="","",A316)</f>
        <v/>
      </c>
      <c r="S316" s="3">
        <f t="shared" si="30"/>
        <v>1</v>
      </c>
      <c r="T316" s="3" t="s">
        <v>39</v>
      </c>
      <c r="U316" s="185" t="str">
        <f t="shared" si="27"/>
        <v>N/A</v>
      </c>
    </row>
    <row r="317" spans="1:21" ht="18.75" customHeight="1" x14ac:dyDescent="0.35">
      <c r="A317" s="11"/>
      <c r="B317" s="11"/>
      <c r="C317" s="11"/>
      <c r="D317" s="11"/>
      <c r="E317" s="12"/>
      <c r="F317" s="13"/>
      <c r="G317" s="13"/>
      <c r="H317" s="14"/>
      <c r="I317" s="11"/>
      <c r="J317" s="129" t="str">
        <f t="shared" si="31"/>
        <v/>
      </c>
      <c r="K317" s="14"/>
      <c r="L317" s="11"/>
      <c r="M317" s="15"/>
      <c r="N317" s="15"/>
      <c r="P317"/>
      <c r="Q317"/>
      <c r="R317" s="129" t="str">
        <f t="shared" si="32"/>
        <v/>
      </c>
      <c r="S317" s="3">
        <f t="shared" si="30"/>
        <v>1</v>
      </c>
      <c r="T317" s="3" t="s">
        <v>39</v>
      </c>
      <c r="U317" s="185" t="str">
        <f t="shared" si="27"/>
        <v>N/A</v>
      </c>
    </row>
    <row r="318" spans="1:21" ht="18.75" customHeight="1" x14ac:dyDescent="0.35">
      <c r="A318" s="246" t="s">
        <v>84</v>
      </c>
      <c r="B318" s="247"/>
      <c r="C318" s="247"/>
      <c r="D318" s="247"/>
      <c r="E318" s="247"/>
      <c r="F318" s="247"/>
      <c r="G318" s="247"/>
      <c r="H318" s="247"/>
      <c r="I318" s="247"/>
      <c r="J318" s="247"/>
      <c r="K318" s="247"/>
      <c r="L318" s="247"/>
      <c r="M318" s="247"/>
      <c r="N318" s="248"/>
      <c r="P318"/>
      <c r="Q318"/>
      <c r="S318" s="3">
        <f t="shared" si="30"/>
        <v>1</v>
      </c>
      <c r="T318" s="3" t="s">
        <v>83</v>
      </c>
      <c r="U318" s="185" t="str">
        <f t="shared" si="27"/>
        <v>N/A</v>
      </c>
    </row>
    <row r="319" spans="1:21" ht="18.75" customHeight="1" x14ac:dyDescent="0.35">
      <c r="A319" s="11"/>
      <c r="B319" s="11"/>
      <c r="C319" s="11"/>
      <c r="D319" s="11"/>
      <c r="E319" s="12"/>
      <c r="F319" s="13"/>
      <c r="G319" s="13"/>
      <c r="H319" s="14"/>
      <c r="I319" s="11"/>
      <c r="J319" s="129" t="str">
        <f t="shared" ref="J319:J338" si="33">IF(A319="","","Yes")</f>
        <v/>
      </c>
      <c r="K319" s="14"/>
      <c r="L319" s="11"/>
      <c r="M319" s="15"/>
      <c r="N319" s="15"/>
      <c r="P319"/>
      <c r="Q319"/>
      <c r="R319" s="129" t="str">
        <f t="shared" ref="R319:R338" si="34">IF(A319="","",A319)</f>
        <v/>
      </c>
      <c r="S319" s="3">
        <f t="shared" si="30"/>
        <v>1</v>
      </c>
      <c r="T319" s="3" t="s">
        <v>83</v>
      </c>
      <c r="U319" s="185" t="str">
        <f t="shared" si="27"/>
        <v>N/A</v>
      </c>
    </row>
    <row r="320" spans="1:21" ht="18.75" customHeight="1" x14ac:dyDescent="0.35">
      <c r="A320" s="11"/>
      <c r="B320" s="11"/>
      <c r="C320" s="11"/>
      <c r="D320" s="11"/>
      <c r="E320" s="12"/>
      <c r="F320" s="13"/>
      <c r="G320" s="13"/>
      <c r="H320" s="14"/>
      <c r="I320" s="11"/>
      <c r="J320" s="129" t="str">
        <f t="shared" si="33"/>
        <v/>
      </c>
      <c r="K320" s="14"/>
      <c r="L320" s="11"/>
      <c r="M320" s="15"/>
      <c r="N320" s="15"/>
      <c r="P320"/>
      <c r="Q320"/>
      <c r="R320" s="129" t="str">
        <f t="shared" si="34"/>
        <v/>
      </c>
      <c r="S320" s="3">
        <f t="shared" si="30"/>
        <v>1</v>
      </c>
      <c r="T320" s="3" t="s">
        <v>83</v>
      </c>
      <c r="U320" s="185" t="str">
        <f t="shared" si="27"/>
        <v>N/A</v>
      </c>
    </row>
    <row r="321" spans="1:21" ht="18.75" customHeight="1" x14ac:dyDescent="0.35">
      <c r="A321" s="11"/>
      <c r="B321" s="11"/>
      <c r="C321" s="11"/>
      <c r="D321" s="11"/>
      <c r="E321" s="12"/>
      <c r="F321" s="13"/>
      <c r="G321" s="13"/>
      <c r="H321" s="14"/>
      <c r="I321" s="11"/>
      <c r="J321" s="129" t="str">
        <f t="shared" si="33"/>
        <v/>
      </c>
      <c r="K321" s="14"/>
      <c r="L321" s="11"/>
      <c r="M321" s="15"/>
      <c r="N321" s="15"/>
      <c r="P321"/>
      <c r="Q321"/>
      <c r="R321" s="129" t="str">
        <f t="shared" si="34"/>
        <v/>
      </c>
      <c r="S321" s="3">
        <f t="shared" si="30"/>
        <v>1</v>
      </c>
      <c r="T321" s="3" t="s">
        <v>83</v>
      </c>
      <c r="U321" s="185" t="str">
        <f t="shared" si="27"/>
        <v>N/A</v>
      </c>
    </row>
    <row r="322" spans="1:21" ht="18.75" customHeight="1" x14ac:dyDescent="0.35">
      <c r="A322" s="11"/>
      <c r="B322" s="11"/>
      <c r="C322" s="11"/>
      <c r="D322" s="11"/>
      <c r="E322" s="12"/>
      <c r="F322" s="13"/>
      <c r="G322" s="13"/>
      <c r="H322" s="14"/>
      <c r="I322" s="11"/>
      <c r="J322" s="129" t="str">
        <f t="shared" si="33"/>
        <v/>
      </c>
      <c r="K322" s="14"/>
      <c r="L322" s="11"/>
      <c r="M322" s="15"/>
      <c r="N322" s="15"/>
      <c r="P322"/>
      <c r="Q322"/>
      <c r="R322" s="129" t="str">
        <f t="shared" si="34"/>
        <v/>
      </c>
      <c r="S322" s="3">
        <f t="shared" si="30"/>
        <v>1</v>
      </c>
      <c r="T322" s="3" t="s">
        <v>83</v>
      </c>
      <c r="U322" s="185" t="str">
        <f t="shared" si="27"/>
        <v>N/A</v>
      </c>
    </row>
    <row r="323" spans="1:21" ht="18.75" customHeight="1" x14ac:dyDescent="0.35">
      <c r="A323" s="11"/>
      <c r="B323" s="11"/>
      <c r="C323" s="11"/>
      <c r="D323" s="11"/>
      <c r="E323" s="12"/>
      <c r="F323" s="13"/>
      <c r="G323" s="13"/>
      <c r="H323" s="14"/>
      <c r="I323" s="11"/>
      <c r="J323" s="129" t="str">
        <f t="shared" si="33"/>
        <v/>
      </c>
      <c r="K323" s="14"/>
      <c r="L323" s="11"/>
      <c r="M323" s="15"/>
      <c r="N323" s="15"/>
      <c r="P323"/>
      <c r="Q323"/>
      <c r="R323" s="129" t="str">
        <f t="shared" si="34"/>
        <v/>
      </c>
      <c r="S323" s="3">
        <f t="shared" si="30"/>
        <v>1</v>
      </c>
      <c r="T323" s="3" t="s">
        <v>83</v>
      </c>
      <c r="U323" s="185" t="str">
        <f t="shared" si="27"/>
        <v>N/A</v>
      </c>
    </row>
    <row r="324" spans="1:21" ht="18.75" customHeight="1" x14ac:dyDescent="0.35">
      <c r="A324" s="11"/>
      <c r="B324" s="11"/>
      <c r="C324" s="11"/>
      <c r="D324" s="11"/>
      <c r="E324" s="12"/>
      <c r="F324" s="13"/>
      <c r="G324" s="13"/>
      <c r="H324" s="14"/>
      <c r="I324" s="11"/>
      <c r="J324" s="129" t="str">
        <f t="shared" si="33"/>
        <v/>
      </c>
      <c r="K324" s="14"/>
      <c r="L324" s="11"/>
      <c r="M324" s="15"/>
      <c r="N324" s="15"/>
      <c r="P324"/>
      <c r="Q324"/>
      <c r="R324" s="129" t="str">
        <f t="shared" si="34"/>
        <v/>
      </c>
      <c r="S324" s="3">
        <f t="shared" si="30"/>
        <v>1</v>
      </c>
      <c r="T324" s="3" t="s">
        <v>83</v>
      </c>
      <c r="U324" s="185" t="str">
        <f t="shared" si="27"/>
        <v>N/A</v>
      </c>
    </row>
    <row r="325" spans="1:21" ht="18.75" customHeight="1" x14ac:dyDescent="0.35">
      <c r="A325" s="11"/>
      <c r="B325" s="11"/>
      <c r="C325" s="11"/>
      <c r="D325" s="11"/>
      <c r="E325" s="12"/>
      <c r="F325" s="13"/>
      <c r="G325" s="13"/>
      <c r="H325" s="14"/>
      <c r="I325" s="11"/>
      <c r="J325" s="129" t="str">
        <f t="shared" si="33"/>
        <v/>
      </c>
      <c r="K325" s="14"/>
      <c r="L325" s="11"/>
      <c r="M325" s="15"/>
      <c r="N325" s="15"/>
      <c r="P325"/>
      <c r="Q325"/>
      <c r="R325" s="129" t="str">
        <f t="shared" si="34"/>
        <v/>
      </c>
      <c r="S325" s="3">
        <f t="shared" si="30"/>
        <v>1</v>
      </c>
      <c r="T325" s="3" t="s">
        <v>83</v>
      </c>
      <c r="U325" s="185" t="str">
        <f t="shared" si="27"/>
        <v>N/A</v>
      </c>
    </row>
    <row r="326" spans="1:21" ht="18.75" customHeight="1" x14ac:dyDescent="0.35">
      <c r="A326" s="11"/>
      <c r="B326" s="11"/>
      <c r="C326" s="11"/>
      <c r="D326" s="11"/>
      <c r="E326" s="12"/>
      <c r="F326" s="13"/>
      <c r="G326" s="13"/>
      <c r="H326" s="14"/>
      <c r="I326" s="11"/>
      <c r="J326" s="129" t="str">
        <f t="shared" si="33"/>
        <v/>
      </c>
      <c r="K326" s="14"/>
      <c r="L326" s="11"/>
      <c r="M326" s="15"/>
      <c r="N326" s="15"/>
      <c r="P326"/>
      <c r="Q326"/>
      <c r="R326" s="129" t="str">
        <f t="shared" si="34"/>
        <v/>
      </c>
      <c r="S326" s="3">
        <f t="shared" si="30"/>
        <v>1</v>
      </c>
      <c r="T326" s="3" t="s">
        <v>83</v>
      </c>
      <c r="U326" s="185" t="str">
        <f t="shared" si="27"/>
        <v>N/A</v>
      </c>
    </row>
    <row r="327" spans="1:21" ht="18.75" customHeight="1" x14ac:dyDescent="0.35">
      <c r="A327" s="11"/>
      <c r="B327" s="11"/>
      <c r="C327" s="11"/>
      <c r="D327" s="11"/>
      <c r="E327" s="12"/>
      <c r="F327" s="13"/>
      <c r="G327" s="13"/>
      <c r="H327" s="14"/>
      <c r="I327" s="11"/>
      <c r="J327" s="129" t="str">
        <f t="shared" si="33"/>
        <v/>
      </c>
      <c r="K327" s="14"/>
      <c r="L327" s="11"/>
      <c r="M327" s="15"/>
      <c r="N327" s="15"/>
      <c r="P327"/>
      <c r="Q327"/>
      <c r="R327" s="129" t="str">
        <f t="shared" si="34"/>
        <v/>
      </c>
      <c r="S327" s="3">
        <f t="shared" si="30"/>
        <v>1</v>
      </c>
      <c r="T327" s="3" t="s">
        <v>83</v>
      </c>
      <c r="U327" s="185" t="str">
        <f t="shared" si="27"/>
        <v>N/A</v>
      </c>
    </row>
    <row r="328" spans="1:21" ht="18.75" customHeight="1" x14ac:dyDescent="0.35">
      <c r="A328" s="11"/>
      <c r="B328" s="11"/>
      <c r="C328" s="11"/>
      <c r="D328" s="11"/>
      <c r="E328" s="12"/>
      <c r="F328" s="13"/>
      <c r="G328" s="13"/>
      <c r="H328" s="14"/>
      <c r="I328" s="11"/>
      <c r="J328" s="129" t="str">
        <f t="shared" si="33"/>
        <v/>
      </c>
      <c r="K328" s="14"/>
      <c r="L328" s="11"/>
      <c r="M328" s="15"/>
      <c r="N328" s="15"/>
      <c r="P328"/>
      <c r="Q328"/>
      <c r="R328" s="129" t="str">
        <f t="shared" si="34"/>
        <v/>
      </c>
      <c r="S328" s="3">
        <f t="shared" si="30"/>
        <v>1</v>
      </c>
      <c r="T328" s="3" t="s">
        <v>83</v>
      </c>
      <c r="U328" s="185" t="str">
        <f t="shared" si="27"/>
        <v>N/A</v>
      </c>
    </row>
    <row r="329" spans="1:21" ht="18.75" customHeight="1" x14ac:dyDescent="0.35">
      <c r="A329" s="11"/>
      <c r="B329" s="11"/>
      <c r="C329" s="11"/>
      <c r="D329" s="11"/>
      <c r="E329" s="12"/>
      <c r="F329" s="13"/>
      <c r="G329" s="13"/>
      <c r="H329" s="14"/>
      <c r="I329" s="11"/>
      <c r="J329" s="129" t="str">
        <f t="shared" si="33"/>
        <v/>
      </c>
      <c r="K329" s="14"/>
      <c r="L329" s="11"/>
      <c r="M329" s="15"/>
      <c r="N329" s="15"/>
      <c r="P329"/>
      <c r="Q329"/>
      <c r="R329" s="129" t="str">
        <f t="shared" si="34"/>
        <v/>
      </c>
      <c r="S329" s="3">
        <f t="shared" si="30"/>
        <v>1</v>
      </c>
      <c r="T329" s="3" t="s">
        <v>83</v>
      </c>
      <c r="U329" s="185" t="str">
        <f t="shared" si="27"/>
        <v>N/A</v>
      </c>
    </row>
    <row r="330" spans="1:21" ht="18.75" customHeight="1" x14ac:dyDescent="0.35">
      <c r="A330" s="11"/>
      <c r="B330" s="11"/>
      <c r="C330" s="11"/>
      <c r="D330" s="11"/>
      <c r="E330" s="12"/>
      <c r="F330" s="13"/>
      <c r="G330" s="13"/>
      <c r="H330" s="14"/>
      <c r="I330" s="11"/>
      <c r="J330" s="129" t="str">
        <f t="shared" si="33"/>
        <v/>
      </c>
      <c r="K330" s="14"/>
      <c r="L330" s="11"/>
      <c r="M330" s="15"/>
      <c r="N330" s="15"/>
      <c r="P330"/>
      <c r="Q330"/>
      <c r="R330" s="129" t="str">
        <f t="shared" si="34"/>
        <v/>
      </c>
      <c r="S330" s="3">
        <f t="shared" si="30"/>
        <v>1</v>
      </c>
      <c r="T330" s="3" t="s">
        <v>83</v>
      </c>
      <c r="U330" s="185" t="str">
        <f t="shared" si="27"/>
        <v>N/A</v>
      </c>
    </row>
    <row r="331" spans="1:21" ht="18.75" customHeight="1" x14ac:dyDescent="0.35">
      <c r="A331" s="11"/>
      <c r="B331" s="11"/>
      <c r="C331" s="11"/>
      <c r="D331" s="11"/>
      <c r="E331" s="12"/>
      <c r="F331" s="13"/>
      <c r="G331" s="13"/>
      <c r="H331" s="14"/>
      <c r="I331" s="11"/>
      <c r="J331" s="129" t="str">
        <f t="shared" si="33"/>
        <v/>
      </c>
      <c r="K331" s="14"/>
      <c r="L331" s="11"/>
      <c r="M331" s="15"/>
      <c r="N331" s="15"/>
      <c r="P331"/>
      <c r="Q331"/>
      <c r="R331" s="129" t="str">
        <f t="shared" si="34"/>
        <v/>
      </c>
      <c r="S331" s="3">
        <f t="shared" si="30"/>
        <v>1</v>
      </c>
      <c r="T331" s="3" t="s">
        <v>83</v>
      </c>
      <c r="U331" s="185" t="str">
        <f t="shared" si="27"/>
        <v>N/A</v>
      </c>
    </row>
    <row r="332" spans="1:21" ht="18.75" customHeight="1" x14ac:dyDescent="0.35">
      <c r="A332" s="11"/>
      <c r="B332" s="11"/>
      <c r="C332" s="11"/>
      <c r="D332" s="11"/>
      <c r="E332" s="12"/>
      <c r="F332" s="13"/>
      <c r="G332" s="13"/>
      <c r="H332" s="14"/>
      <c r="I332" s="11"/>
      <c r="J332" s="129" t="str">
        <f t="shared" si="33"/>
        <v/>
      </c>
      <c r="K332" s="14"/>
      <c r="L332" s="11"/>
      <c r="M332" s="15"/>
      <c r="N332" s="15"/>
      <c r="P332"/>
      <c r="Q332"/>
      <c r="R332" s="129" t="str">
        <f t="shared" si="34"/>
        <v/>
      </c>
      <c r="S332" s="3">
        <f t="shared" si="30"/>
        <v>1</v>
      </c>
      <c r="T332" s="3" t="s">
        <v>83</v>
      </c>
      <c r="U332" s="185" t="str">
        <f t="shared" si="27"/>
        <v>N/A</v>
      </c>
    </row>
    <row r="333" spans="1:21" ht="18.75" customHeight="1" x14ac:dyDescent="0.35">
      <c r="A333" s="11"/>
      <c r="B333" s="11"/>
      <c r="C333" s="11"/>
      <c r="D333" s="11"/>
      <c r="E333" s="12"/>
      <c r="F333" s="13"/>
      <c r="G333" s="13"/>
      <c r="H333" s="14"/>
      <c r="I333" s="11"/>
      <c r="J333" s="129" t="str">
        <f t="shared" si="33"/>
        <v/>
      </c>
      <c r="K333" s="14"/>
      <c r="L333" s="11"/>
      <c r="M333" s="15"/>
      <c r="N333" s="15"/>
      <c r="P333"/>
      <c r="Q333"/>
      <c r="R333" s="129" t="str">
        <f t="shared" si="34"/>
        <v/>
      </c>
      <c r="S333" s="3">
        <f t="shared" si="30"/>
        <v>1</v>
      </c>
      <c r="T333" s="3" t="s">
        <v>83</v>
      </c>
      <c r="U333" s="185" t="str">
        <f t="shared" si="27"/>
        <v>N/A</v>
      </c>
    </row>
    <row r="334" spans="1:21" ht="18.75" customHeight="1" x14ac:dyDescent="0.35">
      <c r="A334" s="11"/>
      <c r="B334" s="11"/>
      <c r="C334" s="11"/>
      <c r="D334" s="11"/>
      <c r="E334" s="12"/>
      <c r="F334" s="13"/>
      <c r="G334" s="13"/>
      <c r="H334" s="14"/>
      <c r="I334" s="11"/>
      <c r="J334" s="129" t="str">
        <f t="shared" si="33"/>
        <v/>
      </c>
      <c r="K334" s="14"/>
      <c r="L334" s="11"/>
      <c r="M334" s="15"/>
      <c r="N334" s="15"/>
      <c r="P334"/>
      <c r="Q334"/>
      <c r="R334" s="129" t="str">
        <f t="shared" si="34"/>
        <v/>
      </c>
      <c r="S334" s="3">
        <f t="shared" si="30"/>
        <v>1</v>
      </c>
      <c r="T334" s="3" t="s">
        <v>83</v>
      </c>
      <c r="U334" s="185" t="str">
        <f t="shared" si="27"/>
        <v>N/A</v>
      </c>
    </row>
    <row r="335" spans="1:21" ht="18.75" customHeight="1" x14ac:dyDescent="0.35">
      <c r="A335" s="11"/>
      <c r="B335" s="11"/>
      <c r="C335" s="11"/>
      <c r="D335" s="11"/>
      <c r="E335" s="12"/>
      <c r="F335" s="13"/>
      <c r="G335" s="13"/>
      <c r="H335" s="14"/>
      <c r="I335" s="11"/>
      <c r="J335" s="129" t="str">
        <f t="shared" si="33"/>
        <v/>
      </c>
      <c r="K335" s="14"/>
      <c r="L335" s="11"/>
      <c r="M335" s="15"/>
      <c r="N335" s="15"/>
      <c r="P335"/>
      <c r="Q335"/>
      <c r="R335" s="129" t="str">
        <f t="shared" si="34"/>
        <v/>
      </c>
      <c r="S335" s="3">
        <f t="shared" si="30"/>
        <v>1</v>
      </c>
      <c r="T335" s="3" t="s">
        <v>83</v>
      </c>
      <c r="U335" s="185" t="str">
        <f t="shared" si="27"/>
        <v>N/A</v>
      </c>
    </row>
    <row r="336" spans="1:21" ht="18.75" customHeight="1" x14ac:dyDescent="0.35">
      <c r="A336" s="11"/>
      <c r="B336" s="11"/>
      <c r="C336" s="11"/>
      <c r="D336" s="11"/>
      <c r="E336" s="12"/>
      <c r="F336" s="13"/>
      <c r="G336" s="13"/>
      <c r="H336" s="14"/>
      <c r="I336" s="11"/>
      <c r="J336" s="129" t="str">
        <f t="shared" si="33"/>
        <v/>
      </c>
      <c r="K336" s="14"/>
      <c r="L336" s="11"/>
      <c r="M336" s="15"/>
      <c r="N336" s="15"/>
      <c r="P336"/>
      <c r="Q336"/>
      <c r="R336" s="129" t="str">
        <f t="shared" si="34"/>
        <v/>
      </c>
      <c r="S336" s="3">
        <f t="shared" si="30"/>
        <v>1</v>
      </c>
      <c r="T336" s="3" t="s">
        <v>83</v>
      </c>
      <c r="U336" s="185" t="str">
        <f t="shared" si="27"/>
        <v>N/A</v>
      </c>
    </row>
    <row r="337" spans="1:21" ht="18.75" customHeight="1" x14ac:dyDescent="0.35">
      <c r="A337" s="11"/>
      <c r="B337" s="11"/>
      <c r="C337" s="11"/>
      <c r="D337" s="11"/>
      <c r="E337" s="12"/>
      <c r="F337" s="13"/>
      <c r="G337" s="13"/>
      <c r="H337" s="14"/>
      <c r="I337" s="11"/>
      <c r="J337" s="129" t="str">
        <f t="shared" si="33"/>
        <v/>
      </c>
      <c r="K337" s="14"/>
      <c r="L337" s="11"/>
      <c r="M337" s="15"/>
      <c r="N337" s="15"/>
      <c r="P337"/>
      <c r="Q337"/>
      <c r="R337" s="129" t="str">
        <f t="shared" si="34"/>
        <v/>
      </c>
      <c r="S337" s="3">
        <f t="shared" si="30"/>
        <v>1</v>
      </c>
      <c r="T337" s="3" t="s">
        <v>83</v>
      </c>
      <c r="U337" s="185" t="str">
        <f t="shared" si="27"/>
        <v>N/A</v>
      </c>
    </row>
    <row r="338" spans="1:21" ht="18.75" customHeight="1" x14ac:dyDescent="0.35">
      <c r="A338" s="11"/>
      <c r="B338" s="11"/>
      <c r="C338" s="11"/>
      <c r="D338" s="11"/>
      <c r="E338" s="12"/>
      <c r="F338" s="13"/>
      <c r="G338" s="13"/>
      <c r="H338" s="14"/>
      <c r="I338" s="11"/>
      <c r="J338" s="129" t="str">
        <f t="shared" si="33"/>
        <v/>
      </c>
      <c r="K338" s="14"/>
      <c r="L338" s="11"/>
      <c r="M338" s="15"/>
      <c r="N338" s="15"/>
      <c r="P338"/>
      <c r="Q338"/>
      <c r="R338" s="129" t="str">
        <f t="shared" si="34"/>
        <v/>
      </c>
      <c r="S338" s="3">
        <f t="shared" si="30"/>
        <v>1</v>
      </c>
      <c r="T338" s="3" t="s">
        <v>83</v>
      </c>
      <c r="U338" s="185" t="str">
        <f t="shared" si="27"/>
        <v>N/A</v>
      </c>
    </row>
    <row r="339" spans="1:21" ht="18.75" customHeight="1" x14ac:dyDescent="0.35">
      <c r="A339" s="246" t="s">
        <v>88</v>
      </c>
      <c r="B339" s="247"/>
      <c r="C339" s="247"/>
      <c r="D339" s="247"/>
      <c r="E339" s="247"/>
      <c r="F339" s="247"/>
      <c r="G339" s="247"/>
      <c r="H339" s="247"/>
      <c r="I339" s="247"/>
      <c r="J339" s="247"/>
      <c r="K339" s="247"/>
      <c r="L339" s="247"/>
      <c r="M339" s="247"/>
      <c r="N339" s="248"/>
      <c r="P339" t="s">
        <v>87</v>
      </c>
      <c r="Q339" s="184" t="s">
        <v>30</v>
      </c>
      <c r="S339" s="3">
        <f t="shared" si="30"/>
        <v>1</v>
      </c>
      <c r="T339" s="3" t="s">
        <v>87</v>
      </c>
      <c r="U339" s="185" t="str">
        <f t="shared" si="27"/>
        <v>N/A</v>
      </c>
    </row>
    <row r="340" spans="1:21" ht="18.75" customHeight="1" x14ac:dyDescent="0.35">
      <c r="A340" s="11">
        <v>54201</v>
      </c>
      <c r="B340" s="11">
        <v>2</v>
      </c>
      <c r="C340" s="11" t="s">
        <v>56</v>
      </c>
      <c r="D340" s="11" t="s">
        <v>95</v>
      </c>
      <c r="E340" s="12">
        <v>0.55000000000000004</v>
      </c>
      <c r="F340" s="13">
        <v>5.0999999999999997E-2</v>
      </c>
      <c r="G340" s="131">
        <v>8.1475216000000003E-2</v>
      </c>
      <c r="H340" s="14">
        <v>999</v>
      </c>
      <c r="I340" s="11" t="s">
        <v>53</v>
      </c>
      <c r="J340" s="129" t="s">
        <v>52</v>
      </c>
      <c r="K340" s="14">
        <v>0</v>
      </c>
      <c r="L340" s="11" t="s">
        <v>52</v>
      </c>
      <c r="M340" s="15" t="s">
        <v>283</v>
      </c>
      <c r="N340" s="129" t="s">
        <v>53</v>
      </c>
      <c r="P340" t="s">
        <v>87</v>
      </c>
      <c r="Q340" s="184" t="s">
        <v>30</v>
      </c>
      <c r="R340" s="129">
        <f t="shared" ref="R340:R359" si="35">IF(A340="","",A340)</f>
        <v>54201</v>
      </c>
      <c r="S340" s="3">
        <f t="shared" si="30"/>
        <v>1</v>
      </c>
      <c r="T340" s="3" t="s">
        <v>87</v>
      </c>
      <c r="U340" s="185" t="str">
        <f t="shared" si="27"/>
        <v>N/A</v>
      </c>
    </row>
    <row r="341" spans="1:21" ht="18.75" customHeight="1" x14ac:dyDescent="0.35">
      <c r="A341" s="11">
        <v>54200</v>
      </c>
      <c r="B341" s="11">
        <v>2</v>
      </c>
      <c r="C341" s="11" t="s">
        <v>56</v>
      </c>
      <c r="D341" s="11" t="s">
        <v>95</v>
      </c>
      <c r="E341" s="12">
        <v>0.6</v>
      </c>
      <c r="F341" s="13">
        <v>5.3900000000000003E-2</v>
      </c>
      <c r="G341" s="131">
        <v>8.1991807999999999E-2</v>
      </c>
      <c r="H341" s="14">
        <v>999</v>
      </c>
      <c r="I341" s="11" t="s">
        <v>53</v>
      </c>
      <c r="J341" s="129" t="s">
        <v>52</v>
      </c>
      <c r="K341" s="14">
        <v>0</v>
      </c>
      <c r="L341" s="11" t="s">
        <v>52</v>
      </c>
      <c r="M341" s="15" t="s">
        <v>283</v>
      </c>
      <c r="N341" s="129" t="s">
        <v>53</v>
      </c>
      <c r="P341" t="s">
        <v>87</v>
      </c>
      <c r="Q341" s="184" t="s">
        <v>30</v>
      </c>
      <c r="R341" s="129">
        <f t="shared" si="35"/>
        <v>54200</v>
      </c>
      <c r="S341" s="3">
        <f t="shared" si="30"/>
        <v>1</v>
      </c>
      <c r="T341" s="3" t="s">
        <v>87</v>
      </c>
      <c r="U341" s="185" t="str">
        <f t="shared" si="27"/>
        <v>N/A</v>
      </c>
    </row>
    <row r="342" spans="1:21" ht="18.75" customHeight="1" x14ac:dyDescent="0.35">
      <c r="A342" s="11">
        <v>54203</v>
      </c>
      <c r="B342" s="11">
        <v>5</v>
      </c>
      <c r="C342" s="11" t="s">
        <v>56</v>
      </c>
      <c r="D342" s="11" t="s">
        <v>95</v>
      </c>
      <c r="E342" s="12">
        <v>0.55000000000000004</v>
      </c>
      <c r="F342" s="13">
        <v>5.1900000000000002E-2</v>
      </c>
      <c r="G342" s="131">
        <v>7.4873222000000003E-2</v>
      </c>
      <c r="H342" s="14">
        <v>999</v>
      </c>
      <c r="I342" s="11" t="s">
        <v>53</v>
      </c>
      <c r="J342" s="129" t="s">
        <v>52</v>
      </c>
      <c r="K342" s="14">
        <v>0</v>
      </c>
      <c r="L342" s="11" t="s">
        <v>52</v>
      </c>
      <c r="M342" s="15" t="s">
        <v>284</v>
      </c>
      <c r="N342" s="15" t="s">
        <v>53</v>
      </c>
      <c r="P342" t="s">
        <v>87</v>
      </c>
      <c r="Q342" s="184" t="s">
        <v>30</v>
      </c>
      <c r="R342" s="129">
        <f t="shared" si="35"/>
        <v>54203</v>
      </c>
      <c r="S342" s="3">
        <f t="shared" si="30"/>
        <v>1</v>
      </c>
      <c r="T342" s="3" t="s">
        <v>87</v>
      </c>
      <c r="U342" s="185" t="str">
        <f t="shared" si="27"/>
        <v>N/A</v>
      </c>
    </row>
    <row r="343" spans="1:21" ht="18.75" customHeight="1" x14ac:dyDescent="0.35">
      <c r="A343" s="11">
        <v>54202</v>
      </c>
      <c r="B343" s="11">
        <v>5</v>
      </c>
      <c r="C343" s="11" t="s">
        <v>56</v>
      </c>
      <c r="D343" s="11" t="s">
        <v>95</v>
      </c>
      <c r="E343" s="12">
        <v>0.55000000000000004</v>
      </c>
      <c r="F343" s="13">
        <v>5.3400000000000003E-2</v>
      </c>
      <c r="G343" s="131">
        <v>7.4335182999999999E-2</v>
      </c>
      <c r="H343" s="14">
        <v>0</v>
      </c>
      <c r="I343" s="11" t="s">
        <v>53</v>
      </c>
      <c r="J343" s="129" t="s">
        <v>52</v>
      </c>
      <c r="K343" s="14">
        <v>0</v>
      </c>
      <c r="L343" s="11" t="s">
        <v>52</v>
      </c>
      <c r="M343" s="15" t="s">
        <v>284</v>
      </c>
      <c r="N343" s="15" t="s">
        <v>53</v>
      </c>
      <c r="P343" t="s">
        <v>87</v>
      </c>
      <c r="Q343" s="184" t="s">
        <v>30</v>
      </c>
      <c r="R343" s="129">
        <f t="shared" si="35"/>
        <v>54202</v>
      </c>
      <c r="S343" s="3">
        <f t="shared" si="30"/>
        <v>1</v>
      </c>
      <c r="T343" s="3" t="s">
        <v>87</v>
      </c>
      <c r="U343" s="185" t="str">
        <f t="shared" si="27"/>
        <v>N/A</v>
      </c>
    </row>
    <row r="344" spans="1:21" ht="18.75" customHeight="1" x14ac:dyDescent="0.35">
      <c r="A344" s="11"/>
      <c r="B344" s="11"/>
      <c r="C344" s="11"/>
      <c r="D344" s="11"/>
      <c r="E344" s="12"/>
      <c r="F344" s="13"/>
      <c r="G344" s="131"/>
      <c r="H344" s="14"/>
      <c r="I344" s="11"/>
      <c r="J344" s="129"/>
      <c r="K344" s="14"/>
      <c r="L344" s="11"/>
      <c r="M344" s="15"/>
      <c r="N344" s="15"/>
      <c r="P344" t="s">
        <v>87</v>
      </c>
      <c r="Q344" s="184" t="s">
        <v>30</v>
      </c>
      <c r="R344" s="129" t="str">
        <f t="shared" si="35"/>
        <v/>
      </c>
      <c r="S344" s="3">
        <f t="shared" si="30"/>
        <v>1</v>
      </c>
      <c r="T344" s="3" t="s">
        <v>87</v>
      </c>
      <c r="U344" s="185" t="str">
        <f t="shared" si="27"/>
        <v>N/A</v>
      </c>
    </row>
    <row r="345" spans="1:21" ht="18.75" customHeight="1" x14ac:dyDescent="0.35">
      <c r="A345" s="226"/>
      <c r="B345" s="226"/>
      <c r="C345" s="226"/>
      <c r="D345" s="226"/>
      <c r="E345" s="227"/>
      <c r="F345" s="228"/>
      <c r="G345" s="228"/>
      <c r="H345" s="229"/>
      <c r="I345" s="226"/>
      <c r="J345" s="127"/>
      <c r="K345" s="229"/>
      <c r="L345" s="226"/>
      <c r="M345" s="230"/>
      <c r="N345" s="230"/>
      <c r="P345" t="s">
        <v>87</v>
      </c>
      <c r="Q345" s="184" t="s">
        <v>30</v>
      </c>
      <c r="R345" s="129" t="str">
        <f t="shared" si="35"/>
        <v/>
      </c>
      <c r="S345" s="3">
        <f t="shared" si="30"/>
        <v>1</v>
      </c>
      <c r="T345" s="3" t="s">
        <v>87</v>
      </c>
      <c r="U345" s="185" t="str">
        <f t="shared" si="27"/>
        <v>N/A</v>
      </c>
    </row>
    <row r="346" spans="1:21" ht="18.75" customHeight="1" x14ac:dyDescent="0.35">
      <c r="A346" s="226"/>
      <c r="B346" s="226"/>
      <c r="C346" s="226"/>
      <c r="D346" s="226"/>
      <c r="E346" s="227"/>
      <c r="F346" s="228"/>
      <c r="G346" s="228"/>
      <c r="H346" s="229"/>
      <c r="I346" s="226"/>
      <c r="J346" s="127" t="str">
        <f t="shared" ref="J346:J359" si="36">IF(A346="","","Yes")</f>
        <v/>
      </c>
      <c r="K346" s="229"/>
      <c r="L346" s="226"/>
      <c r="M346" s="230"/>
      <c r="N346" s="230"/>
      <c r="P346" t="s">
        <v>87</v>
      </c>
      <c r="Q346" s="184" t="s">
        <v>30</v>
      </c>
      <c r="R346" s="129" t="str">
        <f t="shared" si="35"/>
        <v/>
      </c>
      <c r="S346" s="3">
        <f t="shared" si="30"/>
        <v>1</v>
      </c>
      <c r="T346" s="3" t="s">
        <v>87</v>
      </c>
      <c r="U346" s="185" t="str">
        <f t="shared" si="27"/>
        <v>N/A</v>
      </c>
    </row>
    <row r="347" spans="1:21" ht="18.75" customHeight="1" x14ac:dyDescent="0.35">
      <c r="A347" s="226"/>
      <c r="B347" s="226"/>
      <c r="C347" s="226"/>
      <c r="D347" s="226"/>
      <c r="E347" s="227"/>
      <c r="F347" s="228"/>
      <c r="G347" s="228"/>
      <c r="H347" s="229"/>
      <c r="I347" s="226"/>
      <c r="J347" s="127" t="str">
        <f t="shared" si="36"/>
        <v/>
      </c>
      <c r="K347" s="229"/>
      <c r="L347" s="226"/>
      <c r="M347" s="230"/>
      <c r="N347" s="230"/>
      <c r="P347" t="s">
        <v>87</v>
      </c>
      <c r="Q347" s="184" t="s">
        <v>30</v>
      </c>
      <c r="R347" s="129" t="str">
        <f t="shared" si="35"/>
        <v/>
      </c>
      <c r="S347" s="3">
        <f t="shared" si="30"/>
        <v>1</v>
      </c>
      <c r="T347" s="3" t="s">
        <v>87</v>
      </c>
      <c r="U347" s="185" t="str">
        <f t="shared" si="27"/>
        <v>N/A</v>
      </c>
    </row>
    <row r="348" spans="1:21" ht="18.75" customHeight="1" x14ac:dyDescent="0.35">
      <c r="A348" s="11"/>
      <c r="B348" s="11"/>
      <c r="C348" s="11"/>
      <c r="D348" s="11"/>
      <c r="E348" s="12"/>
      <c r="F348" s="13"/>
      <c r="G348" s="13"/>
      <c r="H348" s="14"/>
      <c r="I348" s="11"/>
      <c r="J348" s="129" t="str">
        <f t="shared" si="36"/>
        <v/>
      </c>
      <c r="K348" s="14"/>
      <c r="L348" s="11"/>
      <c r="M348" s="15"/>
      <c r="N348" s="15"/>
      <c r="P348" t="s">
        <v>87</v>
      </c>
      <c r="Q348" s="184" t="s">
        <v>30</v>
      </c>
      <c r="R348" s="129" t="str">
        <f t="shared" si="35"/>
        <v/>
      </c>
      <c r="S348" s="3">
        <f t="shared" si="30"/>
        <v>1</v>
      </c>
      <c r="T348" s="3" t="s">
        <v>87</v>
      </c>
      <c r="U348" s="185" t="str">
        <f t="shared" ref="U348:U360" si="37">IF(C348="Discount",IF(OR(T348=$W$8,T348=$W$10,T348=$W$11,T348=$W$19,T348=$W$20,T348=$W$21,T348=$W$22),$AI$5-F348,$AH$5-F348),IF(C348="Tracker",F348-$AG$5,"N/A"))</f>
        <v>N/A</v>
      </c>
    </row>
    <row r="349" spans="1:21" ht="18.75" customHeight="1" x14ac:dyDescent="0.35">
      <c r="A349" s="11"/>
      <c r="B349" s="11"/>
      <c r="C349" s="11"/>
      <c r="D349" s="11"/>
      <c r="E349" s="12"/>
      <c r="F349" s="13"/>
      <c r="G349" s="13"/>
      <c r="H349" s="14"/>
      <c r="I349" s="11"/>
      <c r="J349" s="129" t="str">
        <f t="shared" si="36"/>
        <v/>
      </c>
      <c r="K349" s="14"/>
      <c r="L349" s="11"/>
      <c r="M349" s="15"/>
      <c r="N349" s="15"/>
      <c r="P349" t="s">
        <v>87</v>
      </c>
      <c r="Q349" s="184" t="s">
        <v>30</v>
      </c>
      <c r="R349" s="129" t="str">
        <f t="shared" si="35"/>
        <v/>
      </c>
      <c r="S349" s="3">
        <f t="shared" si="30"/>
        <v>1</v>
      </c>
      <c r="T349" s="3" t="s">
        <v>87</v>
      </c>
      <c r="U349" s="185" t="str">
        <f t="shared" si="37"/>
        <v>N/A</v>
      </c>
    </row>
    <row r="350" spans="1:21" ht="18.75" customHeight="1" x14ac:dyDescent="0.35">
      <c r="A350" s="11"/>
      <c r="B350" s="11"/>
      <c r="C350" s="11"/>
      <c r="D350" s="11"/>
      <c r="E350" s="12"/>
      <c r="F350" s="13"/>
      <c r="G350" s="13"/>
      <c r="H350" s="14"/>
      <c r="I350" s="11"/>
      <c r="J350" s="129" t="str">
        <f t="shared" si="36"/>
        <v/>
      </c>
      <c r="K350" s="14"/>
      <c r="L350" s="11"/>
      <c r="M350" s="15"/>
      <c r="N350" s="15"/>
      <c r="P350" t="s">
        <v>87</v>
      </c>
      <c r="Q350" s="184" t="s">
        <v>30</v>
      </c>
      <c r="R350" s="129" t="str">
        <f t="shared" si="35"/>
        <v/>
      </c>
      <c r="S350" s="3">
        <f t="shared" si="30"/>
        <v>1</v>
      </c>
      <c r="T350" s="3" t="s">
        <v>87</v>
      </c>
      <c r="U350" s="185" t="str">
        <f t="shared" si="37"/>
        <v>N/A</v>
      </c>
    </row>
    <row r="351" spans="1:21" ht="18.75" customHeight="1" x14ac:dyDescent="0.35">
      <c r="A351" s="11"/>
      <c r="B351" s="11"/>
      <c r="C351" s="11"/>
      <c r="D351" s="11"/>
      <c r="E351" s="12"/>
      <c r="F351" s="13"/>
      <c r="G351" s="13"/>
      <c r="H351" s="14"/>
      <c r="I351" s="11"/>
      <c r="J351" s="129" t="str">
        <f t="shared" si="36"/>
        <v/>
      </c>
      <c r="K351" s="14"/>
      <c r="L351" s="11"/>
      <c r="M351" s="15"/>
      <c r="N351" s="15"/>
      <c r="P351" t="s">
        <v>87</v>
      </c>
      <c r="Q351" s="184" t="s">
        <v>30</v>
      </c>
      <c r="R351" s="129" t="str">
        <f t="shared" si="35"/>
        <v/>
      </c>
      <c r="S351" s="3">
        <f t="shared" si="30"/>
        <v>1</v>
      </c>
      <c r="T351" s="3" t="s">
        <v>87</v>
      </c>
      <c r="U351" s="185" t="str">
        <f t="shared" si="37"/>
        <v>N/A</v>
      </c>
    </row>
    <row r="352" spans="1:21" ht="18.75" customHeight="1" x14ac:dyDescent="0.35">
      <c r="A352" s="11"/>
      <c r="B352" s="11"/>
      <c r="C352" s="11"/>
      <c r="D352" s="11"/>
      <c r="E352" s="12"/>
      <c r="F352" s="13"/>
      <c r="G352" s="13"/>
      <c r="H352" s="14"/>
      <c r="I352" s="11"/>
      <c r="J352" s="129" t="str">
        <f t="shared" si="36"/>
        <v/>
      </c>
      <c r="K352" s="14"/>
      <c r="L352" s="11"/>
      <c r="M352" s="15"/>
      <c r="N352" s="15"/>
      <c r="P352" t="s">
        <v>87</v>
      </c>
      <c r="Q352" s="184" t="s">
        <v>30</v>
      </c>
      <c r="R352" s="129" t="str">
        <f t="shared" si="35"/>
        <v/>
      </c>
      <c r="S352" s="3">
        <f t="shared" si="30"/>
        <v>1</v>
      </c>
      <c r="T352" s="3" t="s">
        <v>87</v>
      </c>
      <c r="U352" s="185" t="str">
        <f t="shared" si="37"/>
        <v>N/A</v>
      </c>
    </row>
    <row r="353" spans="1:21" ht="18.75" customHeight="1" x14ac:dyDescent="0.35">
      <c r="A353" s="11"/>
      <c r="B353" s="11"/>
      <c r="C353" s="11"/>
      <c r="D353" s="11"/>
      <c r="E353" s="12"/>
      <c r="F353" s="13"/>
      <c r="G353" s="13"/>
      <c r="H353" s="14"/>
      <c r="I353" s="11"/>
      <c r="J353" s="129" t="str">
        <f t="shared" si="36"/>
        <v/>
      </c>
      <c r="K353" s="14"/>
      <c r="L353" s="11"/>
      <c r="M353" s="15"/>
      <c r="N353" s="15"/>
      <c r="P353" t="s">
        <v>87</v>
      </c>
      <c r="Q353" s="184" t="s">
        <v>30</v>
      </c>
      <c r="R353" s="129" t="str">
        <f t="shared" si="35"/>
        <v/>
      </c>
      <c r="S353" s="3">
        <f t="shared" si="30"/>
        <v>1</v>
      </c>
      <c r="T353" s="3" t="s">
        <v>87</v>
      </c>
      <c r="U353" s="185" t="str">
        <f t="shared" si="37"/>
        <v>N/A</v>
      </c>
    </row>
    <row r="354" spans="1:21" ht="18.75" customHeight="1" x14ac:dyDescent="0.35">
      <c r="A354" s="11"/>
      <c r="B354" s="11"/>
      <c r="C354" s="11"/>
      <c r="D354" s="11"/>
      <c r="E354" s="12"/>
      <c r="F354" s="13"/>
      <c r="G354" s="13"/>
      <c r="H354" s="14"/>
      <c r="I354" s="11"/>
      <c r="J354" s="129" t="str">
        <f t="shared" si="36"/>
        <v/>
      </c>
      <c r="K354" s="14"/>
      <c r="L354" s="11"/>
      <c r="M354" s="15"/>
      <c r="N354" s="15"/>
      <c r="P354" t="s">
        <v>87</v>
      </c>
      <c r="Q354" s="184" t="s">
        <v>30</v>
      </c>
      <c r="R354" s="129" t="str">
        <f t="shared" si="35"/>
        <v/>
      </c>
      <c r="S354" s="3">
        <f t="shared" si="30"/>
        <v>1</v>
      </c>
      <c r="T354" s="3" t="s">
        <v>87</v>
      </c>
      <c r="U354" s="185" t="str">
        <f t="shared" si="37"/>
        <v>N/A</v>
      </c>
    </row>
    <row r="355" spans="1:21" ht="18.75" customHeight="1" x14ac:dyDescent="0.35">
      <c r="A355" s="11"/>
      <c r="B355" s="11"/>
      <c r="C355" s="11"/>
      <c r="D355" s="11"/>
      <c r="E355" s="12"/>
      <c r="F355" s="13"/>
      <c r="G355" s="13"/>
      <c r="H355" s="14"/>
      <c r="I355" s="11"/>
      <c r="J355" s="129" t="str">
        <f t="shared" si="36"/>
        <v/>
      </c>
      <c r="K355" s="14"/>
      <c r="L355" s="11"/>
      <c r="M355" s="15"/>
      <c r="N355" s="15"/>
      <c r="P355" t="s">
        <v>87</v>
      </c>
      <c r="Q355" s="184" t="s">
        <v>30</v>
      </c>
      <c r="R355" s="129" t="str">
        <f t="shared" si="35"/>
        <v/>
      </c>
      <c r="S355" s="3">
        <f t="shared" si="30"/>
        <v>1</v>
      </c>
      <c r="T355" s="3" t="s">
        <v>87</v>
      </c>
      <c r="U355" s="185" t="str">
        <f t="shared" si="37"/>
        <v>N/A</v>
      </c>
    </row>
    <row r="356" spans="1:21" ht="18.75" customHeight="1" x14ac:dyDescent="0.35">
      <c r="A356" s="11"/>
      <c r="B356" s="11"/>
      <c r="C356" s="11"/>
      <c r="D356" s="11"/>
      <c r="E356" s="12"/>
      <c r="F356" s="13"/>
      <c r="G356" s="13"/>
      <c r="H356" s="14"/>
      <c r="I356" s="11"/>
      <c r="J356" s="129" t="str">
        <f t="shared" si="36"/>
        <v/>
      </c>
      <c r="K356" s="14"/>
      <c r="L356" s="11"/>
      <c r="M356" s="15"/>
      <c r="N356" s="15"/>
      <c r="P356" t="s">
        <v>87</v>
      </c>
      <c r="Q356" s="184" t="s">
        <v>30</v>
      </c>
      <c r="R356" s="129" t="str">
        <f t="shared" si="35"/>
        <v/>
      </c>
      <c r="S356" s="3">
        <f t="shared" si="30"/>
        <v>1</v>
      </c>
      <c r="T356" s="3" t="s">
        <v>87</v>
      </c>
      <c r="U356" s="185" t="str">
        <f t="shared" si="37"/>
        <v>N/A</v>
      </c>
    </row>
    <row r="357" spans="1:21" ht="18.75" customHeight="1" x14ac:dyDescent="0.35">
      <c r="A357" s="11"/>
      <c r="B357" s="11"/>
      <c r="C357" s="11"/>
      <c r="D357" s="11"/>
      <c r="E357" s="12"/>
      <c r="F357" s="13"/>
      <c r="G357" s="13"/>
      <c r="H357" s="14"/>
      <c r="I357" s="11"/>
      <c r="J357" s="129" t="str">
        <f t="shared" si="36"/>
        <v/>
      </c>
      <c r="K357" s="14"/>
      <c r="L357" s="11"/>
      <c r="M357" s="15"/>
      <c r="N357" s="15"/>
      <c r="P357" t="s">
        <v>87</v>
      </c>
      <c r="Q357" s="184" t="s">
        <v>30</v>
      </c>
      <c r="R357" s="129" t="str">
        <f t="shared" si="35"/>
        <v/>
      </c>
      <c r="S357" s="3">
        <f t="shared" si="30"/>
        <v>1</v>
      </c>
      <c r="T357" s="3" t="s">
        <v>87</v>
      </c>
      <c r="U357" s="185" t="str">
        <f t="shared" si="37"/>
        <v>N/A</v>
      </c>
    </row>
    <row r="358" spans="1:21" ht="18.75" customHeight="1" x14ac:dyDescent="0.35">
      <c r="A358" s="11"/>
      <c r="B358" s="11"/>
      <c r="C358" s="11"/>
      <c r="D358" s="11"/>
      <c r="E358" s="12"/>
      <c r="F358" s="13"/>
      <c r="G358" s="13"/>
      <c r="H358" s="14"/>
      <c r="I358" s="11"/>
      <c r="J358" s="129" t="str">
        <f t="shared" si="36"/>
        <v/>
      </c>
      <c r="K358" s="14"/>
      <c r="L358" s="11"/>
      <c r="M358" s="15"/>
      <c r="N358" s="15"/>
      <c r="P358" t="s">
        <v>87</v>
      </c>
      <c r="Q358" s="184" t="s">
        <v>30</v>
      </c>
      <c r="R358" s="129" t="str">
        <f t="shared" si="35"/>
        <v/>
      </c>
      <c r="S358" s="3">
        <f t="shared" si="30"/>
        <v>1</v>
      </c>
      <c r="T358" s="3" t="s">
        <v>87</v>
      </c>
      <c r="U358" s="185" t="str">
        <f t="shared" si="37"/>
        <v>N/A</v>
      </c>
    </row>
    <row r="359" spans="1:21" ht="18.75" customHeight="1" x14ac:dyDescent="0.35">
      <c r="A359" s="11"/>
      <c r="B359" s="11"/>
      <c r="C359" s="11"/>
      <c r="D359" s="11"/>
      <c r="E359" s="12"/>
      <c r="F359" s="13"/>
      <c r="G359" s="13"/>
      <c r="H359" s="14"/>
      <c r="I359" s="11"/>
      <c r="J359" s="129" t="str">
        <f t="shared" si="36"/>
        <v/>
      </c>
      <c r="K359" s="14"/>
      <c r="L359" s="11"/>
      <c r="M359" s="15"/>
      <c r="N359" s="15"/>
      <c r="P359" t="s">
        <v>87</v>
      </c>
      <c r="Q359" s="184" t="s">
        <v>30</v>
      </c>
      <c r="R359" s="129" t="str">
        <f t="shared" si="35"/>
        <v/>
      </c>
      <c r="S359" s="3">
        <f t="shared" si="30"/>
        <v>1</v>
      </c>
      <c r="T359" s="3" t="s">
        <v>87</v>
      </c>
      <c r="U359" s="185" t="str">
        <f t="shared" si="37"/>
        <v>N/A</v>
      </c>
    </row>
    <row r="360" spans="1:21" ht="18.75" customHeight="1" x14ac:dyDescent="0.35">
      <c r="A360" s="246" t="s">
        <v>91</v>
      </c>
      <c r="B360" s="247"/>
      <c r="C360" s="247"/>
      <c r="D360" s="247"/>
      <c r="E360" s="247"/>
      <c r="F360" s="247"/>
      <c r="G360" s="247"/>
      <c r="H360" s="247"/>
      <c r="I360" s="247"/>
      <c r="J360" s="247"/>
      <c r="K360" s="247"/>
      <c r="L360" s="247"/>
      <c r="M360" s="247"/>
      <c r="N360" s="248"/>
      <c r="P360" t="s">
        <v>146</v>
      </c>
      <c r="Q360" t="s">
        <v>143</v>
      </c>
      <c r="S360" s="3">
        <f t="shared" si="30"/>
        <v>1</v>
      </c>
      <c r="T360" s="3" t="s">
        <v>89</v>
      </c>
      <c r="U360" s="185" t="str">
        <f t="shared" si="37"/>
        <v>N/A</v>
      </c>
    </row>
    <row r="361" spans="1:21" ht="18.75" customHeight="1" x14ac:dyDescent="0.35">
      <c r="A361" s="11">
        <v>54316</v>
      </c>
      <c r="B361" s="11">
        <v>2</v>
      </c>
      <c r="C361" s="11" t="s">
        <v>56</v>
      </c>
      <c r="D361" s="11" t="s">
        <v>95</v>
      </c>
      <c r="E361" s="12">
        <v>0.75</v>
      </c>
      <c r="F361" s="13">
        <v>6.2399999999999997E-2</v>
      </c>
      <c r="G361" s="131">
        <v>8.2787534999999995E-2</v>
      </c>
      <c r="H361" s="14">
        <v>999</v>
      </c>
      <c r="I361" s="11" t="s">
        <v>53</v>
      </c>
      <c r="J361" s="129" t="s">
        <v>52</v>
      </c>
      <c r="K361" s="14">
        <v>0</v>
      </c>
      <c r="L361" s="11" t="s">
        <v>52</v>
      </c>
      <c r="M361" s="15" t="s">
        <v>283</v>
      </c>
      <c r="N361" s="129" t="s">
        <v>53</v>
      </c>
      <c r="P361" t="s">
        <v>146</v>
      </c>
      <c r="Q361" t="s">
        <v>143</v>
      </c>
      <c r="R361" s="129">
        <f t="shared" ref="R361:R380" si="38">IF(A361="","",A361)</f>
        <v>54316</v>
      </c>
      <c r="S361" s="3">
        <f t="shared" si="30"/>
        <v>1</v>
      </c>
      <c r="T361" s="3" t="s">
        <v>89</v>
      </c>
      <c r="U361" s="185" t="str">
        <f t="shared" ref="U361:U362" si="39">IF(C361="Discount",IF(OR(T361=$W$8,T361=$W$10,T361=$W$11,T361=$W$19,T361=$W$20,T361=$W$21,T361=$W$22),$AI$5-F361,$AH$5-F361),IF(C361="Tracker",F361-$AG$5,"N/A"))</f>
        <v>N/A</v>
      </c>
    </row>
    <row r="362" spans="1:21" ht="18.75" customHeight="1" x14ac:dyDescent="0.35">
      <c r="A362" s="11">
        <v>54318</v>
      </c>
      <c r="B362" s="11">
        <v>2</v>
      </c>
      <c r="C362" s="11" t="s">
        <v>56</v>
      </c>
      <c r="D362" s="11" t="s">
        <v>95</v>
      </c>
      <c r="E362" s="12">
        <v>0.75</v>
      </c>
      <c r="F362" s="13">
        <v>6.54E-2</v>
      </c>
      <c r="G362" s="131">
        <v>8.2882235999999998E-2</v>
      </c>
      <c r="H362" s="14">
        <v>0</v>
      </c>
      <c r="I362" s="11" t="s">
        <v>53</v>
      </c>
      <c r="J362" s="129" t="s">
        <v>52</v>
      </c>
      <c r="K362" s="14">
        <v>0</v>
      </c>
      <c r="L362" s="11" t="s">
        <v>52</v>
      </c>
      <c r="M362" s="15" t="s">
        <v>283</v>
      </c>
      <c r="N362" s="15" t="s">
        <v>53</v>
      </c>
      <c r="P362" t="s">
        <v>146</v>
      </c>
      <c r="Q362" t="s">
        <v>143</v>
      </c>
      <c r="R362" s="129">
        <f t="shared" si="38"/>
        <v>54318</v>
      </c>
      <c r="S362" s="3">
        <f t="shared" si="30"/>
        <v>1</v>
      </c>
      <c r="T362" s="3" t="s">
        <v>89</v>
      </c>
      <c r="U362" s="185" t="str">
        <f t="shared" si="39"/>
        <v>N/A</v>
      </c>
    </row>
    <row r="363" spans="1:21" ht="18.75" customHeight="1" x14ac:dyDescent="0.35">
      <c r="A363" s="11">
        <v>54315</v>
      </c>
      <c r="B363" s="11">
        <v>2</v>
      </c>
      <c r="C363" s="11" t="s">
        <v>56</v>
      </c>
      <c r="D363" s="11" t="s">
        <v>95</v>
      </c>
      <c r="E363" s="12">
        <v>1.25</v>
      </c>
      <c r="F363" s="13">
        <v>7.5899999999999995E-2</v>
      </c>
      <c r="G363" s="131">
        <v>8.4766320000000006E-2</v>
      </c>
      <c r="H363" s="14">
        <v>0</v>
      </c>
      <c r="I363" s="11" t="s">
        <v>53</v>
      </c>
      <c r="J363" s="129" t="s">
        <v>52</v>
      </c>
      <c r="K363" s="14">
        <v>0</v>
      </c>
      <c r="L363" s="11" t="s">
        <v>52</v>
      </c>
      <c r="M363" s="15" t="s">
        <v>283</v>
      </c>
      <c r="N363" s="15" t="s">
        <v>53</v>
      </c>
      <c r="P363" t="s">
        <v>146</v>
      </c>
      <c r="Q363" t="s">
        <v>143</v>
      </c>
      <c r="R363" s="129">
        <f t="shared" si="38"/>
        <v>54315</v>
      </c>
      <c r="S363" s="3">
        <f t="shared" ref="S363:S380" si="40">IF(OR($C$2="",$C$2="Small HMO"),1,0)</f>
        <v>1</v>
      </c>
      <c r="T363" s="3" t="s">
        <v>89</v>
      </c>
      <c r="U363" s="185" t="str">
        <f t="shared" ref="U363:U397" si="41">IF(C363="Discount",IF(OR(T363=$W$8,T363=$W$10,T363=$W$11,T363=$W$19,T363=$W$20,T363=$W$21,T363=$W$22),$AI$5-F363,$AH$5-F363),IF(C363="Tracker",F363-$AG$5,"N/A"))</f>
        <v>N/A</v>
      </c>
    </row>
    <row r="364" spans="1:21" ht="18.75" customHeight="1" x14ac:dyDescent="0.35">
      <c r="A364" s="11">
        <v>54317</v>
      </c>
      <c r="B364" s="11">
        <v>5</v>
      </c>
      <c r="C364" s="11" t="s">
        <v>56</v>
      </c>
      <c r="D364" s="11" t="s">
        <v>95</v>
      </c>
      <c r="E364" s="12">
        <v>0.75</v>
      </c>
      <c r="F364" s="13">
        <v>5.79E-2</v>
      </c>
      <c r="G364" s="131">
        <v>7.8265314000000002E-2</v>
      </c>
      <c r="H364" s="14">
        <v>999</v>
      </c>
      <c r="I364" s="11" t="s">
        <v>53</v>
      </c>
      <c r="J364" s="129" t="s">
        <v>52</v>
      </c>
      <c r="K364" s="14">
        <v>0</v>
      </c>
      <c r="L364" s="11" t="s">
        <v>52</v>
      </c>
      <c r="M364" s="15" t="s">
        <v>284</v>
      </c>
      <c r="N364" s="15" t="s">
        <v>53</v>
      </c>
      <c r="P364" t="s">
        <v>146</v>
      </c>
      <c r="Q364" t="s">
        <v>143</v>
      </c>
      <c r="R364" s="129">
        <f t="shared" si="38"/>
        <v>54317</v>
      </c>
      <c r="S364" s="3">
        <f t="shared" si="40"/>
        <v>1</v>
      </c>
      <c r="T364" s="3" t="s">
        <v>89</v>
      </c>
      <c r="U364" s="185" t="str">
        <f t="shared" si="41"/>
        <v>N/A</v>
      </c>
    </row>
    <row r="365" spans="1:21" ht="18.75" customHeight="1" x14ac:dyDescent="0.35">
      <c r="A365" s="11">
        <v>54314</v>
      </c>
      <c r="B365" s="11">
        <v>5</v>
      </c>
      <c r="C365" s="11" t="s">
        <v>56</v>
      </c>
      <c r="D365" s="11" t="s">
        <v>95</v>
      </c>
      <c r="E365" s="12">
        <v>0.75</v>
      </c>
      <c r="F365" s="13">
        <v>5.9900000000000002E-2</v>
      </c>
      <c r="G365" s="131">
        <v>7.8638565999999993E-2</v>
      </c>
      <c r="H365" s="14">
        <v>0</v>
      </c>
      <c r="I365" s="11" t="s">
        <v>53</v>
      </c>
      <c r="J365" s="129" t="s">
        <v>52</v>
      </c>
      <c r="K365" s="14">
        <v>0</v>
      </c>
      <c r="L365" s="11" t="s">
        <v>52</v>
      </c>
      <c r="M365" s="15" t="s">
        <v>284</v>
      </c>
      <c r="N365" s="15" t="s">
        <v>53</v>
      </c>
      <c r="P365" t="s">
        <v>146</v>
      </c>
      <c r="Q365" t="s">
        <v>143</v>
      </c>
      <c r="R365" s="129">
        <f t="shared" si="38"/>
        <v>54314</v>
      </c>
      <c r="S365" s="3">
        <f t="shared" si="40"/>
        <v>1</v>
      </c>
      <c r="T365" s="3" t="s">
        <v>89</v>
      </c>
      <c r="U365" s="185" t="str">
        <f t="shared" si="41"/>
        <v>N/A</v>
      </c>
    </row>
    <row r="366" spans="1:21" ht="18.75" customHeight="1" x14ac:dyDescent="0.35">
      <c r="A366" s="11"/>
      <c r="B366" s="11"/>
      <c r="C366" s="11"/>
      <c r="D366" s="11"/>
      <c r="E366" s="12"/>
      <c r="F366" s="13"/>
      <c r="G366" s="131"/>
      <c r="H366" s="14"/>
      <c r="I366" s="11"/>
      <c r="J366" s="129" t="str">
        <f t="shared" ref="J366:J380" si="42">IF(A366="","","Yes")</f>
        <v/>
      </c>
      <c r="K366" s="14"/>
      <c r="L366" s="11"/>
      <c r="M366" s="15"/>
      <c r="N366" s="15"/>
      <c r="P366" t="s">
        <v>146</v>
      </c>
      <c r="Q366" t="s">
        <v>143</v>
      </c>
      <c r="R366" s="129" t="str">
        <f t="shared" si="38"/>
        <v/>
      </c>
      <c r="S366" s="3">
        <f t="shared" si="40"/>
        <v>1</v>
      </c>
      <c r="T366" s="3" t="s">
        <v>89</v>
      </c>
      <c r="U366" s="185" t="str">
        <f t="shared" si="41"/>
        <v>N/A</v>
      </c>
    </row>
    <row r="367" spans="1:21" ht="18.75" customHeight="1" x14ac:dyDescent="0.35">
      <c r="A367" s="11"/>
      <c r="B367" s="11"/>
      <c r="C367" s="11"/>
      <c r="D367" s="11"/>
      <c r="E367" s="12"/>
      <c r="F367" s="13"/>
      <c r="G367" s="131"/>
      <c r="H367" s="14"/>
      <c r="I367" s="11"/>
      <c r="J367" s="129" t="str">
        <f t="shared" si="42"/>
        <v/>
      </c>
      <c r="K367" s="14"/>
      <c r="L367" s="11"/>
      <c r="M367" s="15"/>
      <c r="N367" s="15"/>
      <c r="P367" t="s">
        <v>146</v>
      </c>
      <c r="Q367" t="s">
        <v>143</v>
      </c>
      <c r="R367" s="129" t="str">
        <f t="shared" si="38"/>
        <v/>
      </c>
      <c r="S367" s="3">
        <f t="shared" si="40"/>
        <v>1</v>
      </c>
      <c r="T367" s="3" t="s">
        <v>89</v>
      </c>
      <c r="U367" s="185" t="str">
        <f t="shared" si="41"/>
        <v>N/A</v>
      </c>
    </row>
    <row r="368" spans="1:21" ht="18.75" customHeight="1" x14ac:dyDescent="0.35">
      <c r="A368" s="11"/>
      <c r="B368" s="11"/>
      <c r="C368" s="11"/>
      <c r="D368" s="11"/>
      <c r="E368" s="12"/>
      <c r="F368" s="13"/>
      <c r="G368" s="131"/>
      <c r="H368" s="14"/>
      <c r="I368" s="11"/>
      <c r="J368" s="129" t="str">
        <f t="shared" si="42"/>
        <v/>
      </c>
      <c r="K368" s="14"/>
      <c r="L368" s="11"/>
      <c r="M368" s="15"/>
      <c r="N368" s="15"/>
      <c r="P368" t="s">
        <v>146</v>
      </c>
      <c r="Q368" t="s">
        <v>143</v>
      </c>
      <c r="R368" s="129" t="str">
        <f t="shared" si="38"/>
        <v/>
      </c>
      <c r="S368" s="3">
        <f t="shared" si="40"/>
        <v>1</v>
      </c>
      <c r="T368" s="3" t="s">
        <v>89</v>
      </c>
      <c r="U368" s="185" t="str">
        <f t="shared" si="41"/>
        <v>N/A</v>
      </c>
    </row>
    <row r="369" spans="1:21" ht="18.75" customHeight="1" x14ac:dyDescent="0.35">
      <c r="A369" s="11"/>
      <c r="B369" s="11"/>
      <c r="C369" s="11"/>
      <c r="D369" s="11"/>
      <c r="E369" s="12"/>
      <c r="F369" s="13"/>
      <c r="G369" s="131"/>
      <c r="H369" s="14"/>
      <c r="I369" s="11"/>
      <c r="J369" s="129" t="str">
        <f t="shared" si="42"/>
        <v/>
      </c>
      <c r="K369" s="14"/>
      <c r="L369" s="11"/>
      <c r="M369" s="15"/>
      <c r="N369" s="15"/>
      <c r="P369" t="s">
        <v>146</v>
      </c>
      <c r="Q369" t="s">
        <v>143</v>
      </c>
      <c r="R369" s="129" t="str">
        <f t="shared" si="38"/>
        <v/>
      </c>
      <c r="S369" s="3">
        <f t="shared" si="40"/>
        <v>1</v>
      </c>
      <c r="T369" s="3" t="s">
        <v>89</v>
      </c>
      <c r="U369" s="185" t="str">
        <f t="shared" si="41"/>
        <v>N/A</v>
      </c>
    </row>
    <row r="370" spans="1:21" ht="18.75" customHeight="1" x14ac:dyDescent="0.35">
      <c r="A370" s="11"/>
      <c r="B370" s="11"/>
      <c r="C370" s="11"/>
      <c r="D370" s="11"/>
      <c r="E370" s="12"/>
      <c r="F370" s="13"/>
      <c r="G370" s="131"/>
      <c r="H370" s="14"/>
      <c r="I370" s="11"/>
      <c r="J370" s="129" t="str">
        <f t="shared" si="42"/>
        <v/>
      </c>
      <c r="K370" s="14"/>
      <c r="L370" s="11"/>
      <c r="M370" s="15"/>
      <c r="N370" s="15"/>
      <c r="P370" t="s">
        <v>146</v>
      </c>
      <c r="Q370" t="s">
        <v>143</v>
      </c>
      <c r="R370" s="129" t="str">
        <f t="shared" si="38"/>
        <v/>
      </c>
      <c r="S370" s="3">
        <f t="shared" si="40"/>
        <v>1</v>
      </c>
      <c r="T370" s="3" t="s">
        <v>89</v>
      </c>
      <c r="U370" s="185" t="str">
        <f t="shared" si="41"/>
        <v>N/A</v>
      </c>
    </row>
    <row r="371" spans="1:21" ht="18.75" customHeight="1" x14ac:dyDescent="0.35">
      <c r="A371" s="11"/>
      <c r="B371" s="11"/>
      <c r="C371" s="11"/>
      <c r="D371" s="11"/>
      <c r="E371" s="12"/>
      <c r="F371" s="13"/>
      <c r="G371" s="131"/>
      <c r="H371" s="14"/>
      <c r="I371" s="11"/>
      <c r="J371" s="129" t="str">
        <f t="shared" si="42"/>
        <v/>
      </c>
      <c r="K371" s="14"/>
      <c r="L371" s="11"/>
      <c r="M371" s="15"/>
      <c r="N371" s="15"/>
      <c r="P371" t="s">
        <v>146</v>
      </c>
      <c r="Q371" t="s">
        <v>143</v>
      </c>
      <c r="R371" s="129" t="str">
        <f t="shared" si="38"/>
        <v/>
      </c>
      <c r="S371" s="3">
        <f t="shared" si="40"/>
        <v>1</v>
      </c>
      <c r="T371" s="3" t="s">
        <v>89</v>
      </c>
      <c r="U371" s="185" t="str">
        <f t="shared" si="41"/>
        <v>N/A</v>
      </c>
    </row>
    <row r="372" spans="1:21" ht="18.75" customHeight="1" x14ac:dyDescent="0.35">
      <c r="A372" s="11"/>
      <c r="B372" s="11"/>
      <c r="C372" s="11"/>
      <c r="D372" s="11"/>
      <c r="E372" s="12"/>
      <c r="F372" s="13"/>
      <c r="G372" s="131"/>
      <c r="H372" s="14"/>
      <c r="I372" s="11"/>
      <c r="J372" s="129" t="str">
        <f t="shared" si="42"/>
        <v/>
      </c>
      <c r="K372" s="14"/>
      <c r="L372" s="11"/>
      <c r="M372" s="15"/>
      <c r="N372" s="15"/>
      <c r="P372" t="s">
        <v>146</v>
      </c>
      <c r="Q372" t="s">
        <v>143</v>
      </c>
      <c r="R372" s="129" t="str">
        <f t="shared" si="38"/>
        <v/>
      </c>
      <c r="S372" s="3">
        <f t="shared" si="40"/>
        <v>1</v>
      </c>
      <c r="T372" s="3" t="s">
        <v>89</v>
      </c>
      <c r="U372" s="185" t="str">
        <f t="shared" si="41"/>
        <v>N/A</v>
      </c>
    </row>
    <row r="373" spans="1:21" ht="18.75" customHeight="1" x14ac:dyDescent="0.35">
      <c r="A373" s="11"/>
      <c r="B373" s="11"/>
      <c r="C373" s="11"/>
      <c r="D373" s="11"/>
      <c r="E373" s="12"/>
      <c r="F373" s="13"/>
      <c r="G373" s="131"/>
      <c r="H373" s="14"/>
      <c r="I373" s="11"/>
      <c r="J373" s="129" t="str">
        <f t="shared" si="42"/>
        <v/>
      </c>
      <c r="K373" s="14"/>
      <c r="L373" s="11"/>
      <c r="M373" s="15"/>
      <c r="N373" s="15"/>
      <c r="P373" t="s">
        <v>146</v>
      </c>
      <c r="Q373" t="s">
        <v>143</v>
      </c>
      <c r="R373" s="129" t="str">
        <f t="shared" si="38"/>
        <v/>
      </c>
      <c r="S373" s="3">
        <f t="shared" si="40"/>
        <v>1</v>
      </c>
      <c r="T373" s="3" t="s">
        <v>89</v>
      </c>
      <c r="U373" s="185" t="str">
        <f t="shared" si="41"/>
        <v>N/A</v>
      </c>
    </row>
    <row r="374" spans="1:21" ht="18.75" customHeight="1" x14ac:dyDescent="0.35">
      <c r="A374" s="11"/>
      <c r="B374" s="11"/>
      <c r="C374" s="11"/>
      <c r="D374" s="11"/>
      <c r="E374" s="12"/>
      <c r="F374" s="13"/>
      <c r="G374" s="131"/>
      <c r="H374" s="14"/>
      <c r="I374" s="11"/>
      <c r="J374" s="129" t="str">
        <f t="shared" si="42"/>
        <v/>
      </c>
      <c r="K374" s="14"/>
      <c r="L374" s="11"/>
      <c r="M374" s="15"/>
      <c r="N374" s="15"/>
      <c r="P374" t="s">
        <v>146</v>
      </c>
      <c r="Q374" t="s">
        <v>143</v>
      </c>
      <c r="R374" s="129" t="str">
        <f t="shared" si="38"/>
        <v/>
      </c>
      <c r="S374" s="3">
        <f t="shared" si="40"/>
        <v>1</v>
      </c>
      <c r="T374" s="3" t="s">
        <v>89</v>
      </c>
      <c r="U374" s="185" t="str">
        <f t="shared" si="41"/>
        <v>N/A</v>
      </c>
    </row>
    <row r="375" spans="1:21" ht="18.75" customHeight="1" x14ac:dyDescent="0.35">
      <c r="A375" s="11"/>
      <c r="B375" s="11"/>
      <c r="C375" s="11"/>
      <c r="D375" s="11"/>
      <c r="E375" s="12"/>
      <c r="F375" s="13"/>
      <c r="G375" s="13"/>
      <c r="H375" s="14"/>
      <c r="I375" s="11"/>
      <c r="J375" s="129" t="str">
        <f t="shared" si="42"/>
        <v/>
      </c>
      <c r="K375" s="14"/>
      <c r="L375" s="11"/>
      <c r="M375" s="15"/>
      <c r="N375" s="15"/>
      <c r="P375" t="s">
        <v>146</v>
      </c>
      <c r="Q375" t="s">
        <v>143</v>
      </c>
      <c r="R375" s="129" t="str">
        <f t="shared" si="38"/>
        <v/>
      </c>
      <c r="S375" s="3">
        <f t="shared" si="40"/>
        <v>1</v>
      </c>
      <c r="T375" s="3" t="s">
        <v>89</v>
      </c>
      <c r="U375" s="185" t="str">
        <f t="shared" si="41"/>
        <v>N/A</v>
      </c>
    </row>
    <row r="376" spans="1:21" ht="18.75" customHeight="1" x14ac:dyDescent="0.35">
      <c r="A376" s="11"/>
      <c r="B376" s="11"/>
      <c r="C376" s="11"/>
      <c r="D376" s="11"/>
      <c r="E376" s="12"/>
      <c r="F376" s="13"/>
      <c r="G376" s="13"/>
      <c r="H376" s="14"/>
      <c r="I376" s="11"/>
      <c r="J376" s="129" t="str">
        <f t="shared" si="42"/>
        <v/>
      </c>
      <c r="K376" s="14"/>
      <c r="L376" s="11"/>
      <c r="M376" s="15"/>
      <c r="N376" s="15"/>
      <c r="P376" t="s">
        <v>146</v>
      </c>
      <c r="Q376" t="s">
        <v>143</v>
      </c>
      <c r="R376" s="129" t="str">
        <f t="shared" si="38"/>
        <v/>
      </c>
      <c r="S376" s="3">
        <f t="shared" si="40"/>
        <v>1</v>
      </c>
      <c r="T376" s="3" t="s">
        <v>89</v>
      </c>
      <c r="U376" s="185" t="str">
        <f t="shared" si="41"/>
        <v>N/A</v>
      </c>
    </row>
    <row r="377" spans="1:21" ht="18.75" customHeight="1" x14ac:dyDescent="0.35">
      <c r="A377" s="11"/>
      <c r="B377" s="11"/>
      <c r="C377" s="11"/>
      <c r="D377" s="11"/>
      <c r="E377" s="12"/>
      <c r="F377" s="13"/>
      <c r="G377" s="13"/>
      <c r="H377" s="14"/>
      <c r="I377" s="11"/>
      <c r="J377" s="129" t="str">
        <f t="shared" si="42"/>
        <v/>
      </c>
      <c r="K377" s="14"/>
      <c r="L377" s="11"/>
      <c r="M377" s="15"/>
      <c r="N377" s="15"/>
      <c r="P377" t="s">
        <v>146</v>
      </c>
      <c r="Q377" t="s">
        <v>143</v>
      </c>
      <c r="R377" s="129" t="str">
        <f t="shared" si="38"/>
        <v/>
      </c>
      <c r="S377" s="3">
        <f t="shared" si="40"/>
        <v>1</v>
      </c>
      <c r="T377" s="3" t="s">
        <v>89</v>
      </c>
      <c r="U377" s="185" t="str">
        <f t="shared" si="41"/>
        <v>N/A</v>
      </c>
    </row>
    <row r="378" spans="1:21" ht="18.75" customHeight="1" x14ac:dyDescent="0.35">
      <c r="A378" s="11"/>
      <c r="B378" s="11"/>
      <c r="C378" s="11"/>
      <c r="D378" s="11"/>
      <c r="E378" s="12"/>
      <c r="F378" s="13"/>
      <c r="G378" s="13"/>
      <c r="H378" s="14"/>
      <c r="I378" s="11"/>
      <c r="J378" s="129" t="str">
        <f t="shared" si="42"/>
        <v/>
      </c>
      <c r="K378" s="14"/>
      <c r="L378" s="11"/>
      <c r="M378" s="15"/>
      <c r="N378" s="15"/>
      <c r="P378" t="s">
        <v>146</v>
      </c>
      <c r="Q378" t="s">
        <v>143</v>
      </c>
      <c r="R378" s="129" t="str">
        <f t="shared" si="38"/>
        <v/>
      </c>
      <c r="S378" s="3">
        <f t="shared" si="40"/>
        <v>1</v>
      </c>
      <c r="T378" s="3" t="s">
        <v>89</v>
      </c>
      <c r="U378" s="185" t="str">
        <f t="shared" si="41"/>
        <v>N/A</v>
      </c>
    </row>
    <row r="379" spans="1:21" ht="18.75" customHeight="1" x14ac:dyDescent="0.35">
      <c r="A379" s="11"/>
      <c r="B379" s="11"/>
      <c r="C379" s="11"/>
      <c r="D379" s="11"/>
      <c r="E379" s="12"/>
      <c r="F379" s="13"/>
      <c r="G379" s="13"/>
      <c r="H379" s="14"/>
      <c r="I379" s="11"/>
      <c r="J379" s="129" t="str">
        <f t="shared" si="42"/>
        <v/>
      </c>
      <c r="K379" s="14"/>
      <c r="L379" s="11"/>
      <c r="M379" s="15"/>
      <c r="N379" s="15"/>
      <c r="P379" t="s">
        <v>146</v>
      </c>
      <c r="Q379" t="s">
        <v>143</v>
      </c>
      <c r="R379" s="129" t="str">
        <f t="shared" si="38"/>
        <v/>
      </c>
      <c r="S379" s="3">
        <f t="shared" si="40"/>
        <v>1</v>
      </c>
      <c r="T379" s="3" t="s">
        <v>89</v>
      </c>
      <c r="U379" s="185" t="str">
        <f t="shared" si="41"/>
        <v>N/A</v>
      </c>
    </row>
    <row r="380" spans="1:21" ht="18.75" customHeight="1" x14ac:dyDescent="0.35">
      <c r="A380" s="11"/>
      <c r="B380" s="11"/>
      <c r="C380" s="11"/>
      <c r="D380" s="11"/>
      <c r="E380" s="12"/>
      <c r="F380" s="13"/>
      <c r="G380" s="13"/>
      <c r="H380" s="14"/>
      <c r="I380" s="11"/>
      <c r="J380" s="129" t="str">
        <f t="shared" si="42"/>
        <v/>
      </c>
      <c r="K380" s="14"/>
      <c r="L380" s="11"/>
      <c r="M380" s="15"/>
      <c r="N380" s="15"/>
      <c r="P380" t="s">
        <v>146</v>
      </c>
      <c r="Q380" t="s">
        <v>143</v>
      </c>
      <c r="R380" s="129" t="str">
        <f t="shared" si="38"/>
        <v/>
      </c>
      <c r="S380" s="3">
        <f t="shared" si="40"/>
        <v>1</v>
      </c>
      <c r="T380" s="3" t="s">
        <v>89</v>
      </c>
      <c r="U380" s="185" t="str">
        <f t="shared" si="41"/>
        <v>N/A</v>
      </c>
    </row>
    <row r="381" spans="1:21" ht="18.75" customHeight="1" x14ac:dyDescent="0.35">
      <c r="A381" s="246" t="s">
        <v>92</v>
      </c>
      <c r="B381" s="247"/>
      <c r="C381" s="247"/>
      <c r="D381" s="247"/>
      <c r="E381" s="247"/>
      <c r="F381" s="247"/>
      <c r="G381" s="247"/>
      <c r="H381" s="247"/>
      <c r="I381" s="247"/>
      <c r="J381" s="247"/>
      <c r="K381" s="247"/>
      <c r="L381" s="247"/>
      <c r="M381" s="247"/>
      <c r="N381" s="248"/>
      <c r="P381" t="s">
        <v>147</v>
      </c>
      <c r="Q381" t="s">
        <v>143</v>
      </c>
      <c r="S381" s="3">
        <f>IF(OR($C$2="",$C$2="Large HMO"),1,0)</f>
        <v>1</v>
      </c>
      <c r="T381" s="3" t="s">
        <v>90</v>
      </c>
      <c r="U381" s="185" t="str">
        <f t="shared" si="41"/>
        <v>N/A</v>
      </c>
    </row>
    <row r="382" spans="1:21" ht="18.75" customHeight="1" x14ac:dyDescent="0.35">
      <c r="A382" s="11">
        <v>54321</v>
      </c>
      <c r="B382" s="11">
        <v>2</v>
      </c>
      <c r="C382" s="11" t="s">
        <v>56</v>
      </c>
      <c r="D382" s="11" t="s">
        <v>95</v>
      </c>
      <c r="E382" s="12">
        <v>0.75</v>
      </c>
      <c r="F382" s="13">
        <v>6.8400000000000002E-2</v>
      </c>
      <c r="G382" s="131">
        <v>8.3856612999999997E-2</v>
      </c>
      <c r="H382" s="14">
        <v>999</v>
      </c>
      <c r="I382" s="11" t="s">
        <v>53</v>
      </c>
      <c r="J382" s="129" t="s">
        <v>52</v>
      </c>
      <c r="K382" s="14">
        <v>0</v>
      </c>
      <c r="L382" s="11" t="s">
        <v>52</v>
      </c>
      <c r="M382" s="15" t="s">
        <v>283</v>
      </c>
      <c r="N382" s="129" t="s">
        <v>53</v>
      </c>
      <c r="P382" t="s">
        <v>147</v>
      </c>
      <c r="Q382" t="s">
        <v>143</v>
      </c>
      <c r="R382" s="129">
        <f t="shared" ref="R382:R401" si="43">IF(A382="","",A382)</f>
        <v>54321</v>
      </c>
      <c r="S382" s="3">
        <f t="shared" ref="S382:S383" si="44">IF(OR($C$2="",$C$2="Large HMO"),1,0)</f>
        <v>1</v>
      </c>
      <c r="T382" s="3" t="s">
        <v>90</v>
      </c>
      <c r="U382" s="185" t="str">
        <f t="shared" si="41"/>
        <v>N/A</v>
      </c>
    </row>
    <row r="383" spans="1:21" ht="18.75" customHeight="1" x14ac:dyDescent="0.35">
      <c r="A383" s="11">
        <v>54322</v>
      </c>
      <c r="B383" s="11">
        <v>2</v>
      </c>
      <c r="C383" s="11" t="s">
        <v>56</v>
      </c>
      <c r="D383" s="11" t="s">
        <v>95</v>
      </c>
      <c r="E383" s="12">
        <v>0.75</v>
      </c>
      <c r="F383" s="13">
        <v>7.0400000000000004E-2</v>
      </c>
      <c r="G383" s="131">
        <v>8.3772953999999997E-2</v>
      </c>
      <c r="H383" s="14">
        <v>0</v>
      </c>
      <c r="I383" s="11" t="s">
        <v>53</v>
      </c>
      <c r="J383" s="129" t="s">
        <v>52</v>
      </c>
      <c r="K383" s="14">
        <v>0</v>
      </c>
      <c r="L383" s="11" t="s">
        <v>52</v>
      </c>
      <c r="M383" s="15" t="s">
        <v>283</v>
      </c>
      <c r="N383" s="15" t="s">
        <v>53</v>
      </c>
      <c r="P383" t="s">
        <v>147</v>
      </c>
      <c r="Q383" t="s">
        <v>143</v>
      </c>
      <c r="R383" s="129">
        <f t="shared" si="43"/>
        <v>54322</v>
      </c>
      <c r="S383" s="3">
        <f t="shared" si="44"/>
        <v>1</v>
      </c>
      <c r="T383" s="3" t="s">
        <v>90</v>
      </c>
      <c r="U383" s="185" t="str">
        <f t="shared" si="41"/>
        <v>N/A</v>
      </c>
    </row>
    <row r="384" spans="1:21" ht="18.75" customHeight="1" x14ac:dyDescent="0.35">
      <c r="A384" s="11">
        <v>54319</v>
      </c>
      <c r="B384" s="11">
        <v>2</v>
      </c>
      <c r="C384" s="11" t="s">
        <v>56</v>
      </c>
      <c r="D384" s="11" t="s">
        <v>95</v>
      </c>
      <c r="E384" s="12">
        <v>1.25</v>
      </c>
      <c r="F384" s="13">
        <v>7.6899999999999996E-2</v>
      </c>
      <c r="G384" s="131">
        <v>8.4948575999999998E-2</v>
      </c>
      <c r="H384" s="14">
        <v>0</v>
      </c>
      <c r="I384" s="11" t="s">
        <v>53</v>
      </c>
      <c r="J384" s="129" t="s">
        <v>52</v>
      </c>
      <c r="K384" s="14">
        <v>0</v>
      </c>
      <c r="L384" s="11" t="s">
        <v>52</v>
      </c>
      <c r="M384" s="15" t="s">
        <v>283</v>
      </c>
      <c r="N384" s="15" t="s">
        <v>53</v>
      </c>
      <c r="P384" t="s">
        <v>147</v>
      </c>
      <c r="Q384" t="s">
        <v>143</v>
      </c>
      <c r="R384" s="129">
        <f t="shared" si="43"/>
        <v>54319</v>
      </c>
      <c r="S384" s="3">
        <f t="shared" ref="S384:S389" si="45">IF(OR($C$2="",$C$2="Large HMO"),1,0)</f>
        <v>1</v>
      </c>
      <c r="T384" s="3" t="s">
        <v>90</v>
      </c>
      <c r="U384" s="185" t="str">
        <f t="shared" si="41"/>
        <v>N/A</v>
      </c>
    </row>
    <row r="385" spans="1:21" ht="18.75" customHeight="1" x14ac:dyDescent="0.35">
      <c r="A385" s="11">
        <v>54320</v>
      </c>
      <c r="B385" s="11">
        <v>5</v>
      </c>
      <c r="C385" s="11" t="s">
        <v>56</v>
      </c>
      <c r="D385" s="11" t="s">
        <v>95</v>
      </c>
      <c r="E385" s="12">
        <v>0.75</v>
      </c>
      <c r="F385" s="13">
        <v>6.3399999999999998E-2</v>
      </c>
      <c r="G385" s="131">
        <v>8.0382316999999995E-2</v>
      </c>
      <c r="H385" s="14">
        <v>999</v>
      </c>
      <c r="I385" s="11" t="s">
        <v>53</v>
      </c>
      <c r="J385" s="129" t="s">
        <v>52</v>
      </c>
      <c r="K385" s="14">
        <v>0</v>
      </c>
      <c r="L385" s="11" t="s">
        <v>52</v>
      </c>
      <c r="M385" s="15" t="s">
        <v>284</v>
      </c>
      <c r="N385" s="15" t="s">
        <v>53</v>
      </c>
      <c r="P385" t="s">
        <v>147</v>
      </c>
      <c r="Q385" t="s">
        <v>143</v>
      </c>
      <c r="R385" s="129">
        <f t="shared" si="43"/>
        <v>54320</v>
      </c>
      <c r="S385" s="3">
        <f t="shared" si="45"/>
        <v>1</v>
      </c>
      <c r="T385" s="3" t="s">
        <v>90</v>
      </c>
      <c r="U385" s="185" t="str">
        <f t="shared" si="41"/>
        <v>N/A</v>
      </c>
    </row>
    <row r="386" spans="1:21" ht="18.75" customHeight="1" x14ac:dyDescent="0.35">
      <c r="A386" s="11">
        <v>54323</v>
      </c>
      <c r="B386" s="11">
        <v>5</v>
      </c>
      <c r="C386" s="11" t="s">
        <v>56</v>
      </c>
      <c r="D386" s="11" t="s">
        <v>95</v>
      </c>
      <c r="E386" s="12">
        <v>0.75</v>
      </c>
      <c r="F386" s="13">
        <v>6.54E-2</v>
      </c>
      <c r="G386" s="131">
        <v>8.0728658999999994E-2</v>
      </c>
      <c r="H386" s="14">
        <v>0</v>
      </c>
      <c r="I386" s="11" t="s">
        <v>53</v>
      </c>
      <c r="J386" s="129" t="s">
        <v>52</v>
      </c>
      <c r="K386" s="14">
        <v>0</v>
      </c>
      <c r="L386" s="11" t="s">
        <v>52</v>
      </c>
      <c r="M386" s="15" t="s">
        <v>284</v>
      </c>
      <c r="N386" s="15" t="s">
        <v>53</v>
      </c>
      <c r="P386" t="s">
        <v>147</v>
      </c>
      <c r="Q386" t="s">
        <v>143</v>
      </c>
      <c r="R386" s="129">
        <f t="shared" si="43"/>
        <v>54323</v>
      </c>
      <c r="S386" s="3">
        <f t="shared" si="45"/>
        <v>1</v>
      </c>
      <c r="T386" s="3" t="s">
        <v>90</v>
      </c>
      <c r="U386" s="185" t="str">
        <f t="shared" si="41"/>
        <v>N/A</v>
      </c>
    </row>
    <row r="387" spans="1:21" ht="18.75" customHeight="1" x14ac:dyDescent="0.35">
      <c r="A387" s="11"/>
      <c r="B387" s="11"/>
      <c r="C387" s="11"/>
      <c r="D387" s="11"/>
      <c r="E387" s="12"/>
      <c r="F387" s="13"/>
      <c r="G387" s="131"/>
      <c r="H387" s="14"/>
      <c r="I387" s="11"/>
      <c r="J387" s="129" t="str">
        <f t="shared" ref="J387:J401" si="46">IF(A387="","","Yes")</f>
        <v/>
      </c>
      <c r="K387" s="14"/>
      <c r="L387" s="11"/>
      <c r="M387" s="15"/>
      <c r="N387" s="15"/>
      <c r="P387" t="s">
        <v>147</v>
      </c>
      <c r="Q387" t="s">
        <v>143</v>
      </c>
      <c r="R387" s="129" t="str">
        <f t="shared" si="43"/>
        <v/>
      </c>
      <c r="S387" s="3">
        <f t="shared" si="45"/>
        <v>1</v>
      </c>
      <c r="T387" s="3" t="s">
        <v>90</v>
      </c>
      <c r="U387" s="185" t="str">
        <f t="shared" si="41"/>
        <v>N/A</v>
      </c>
    </row>
    <row r="388" spans="1:21" ht="18.75" customHeight="1" x14ac:dyDescent="0.35">
      <c r="A388" s="11"/>
      <c r="B388" s="11"/>
      <c r="C388" s="11"/>
      <c r="D388" s="11"/>
      <c r="E388" s="12"/>
      <c r="F388" s="13"/>
      <c r="G388" s="13"/>
      <c r="H388" s="14"/>
      <c r="I388" s="11"/>
      <c r="J388" s="129" t="str">
        <f t="shared" si="46"/>
        <v/>
      </c>
      <c r="K388" s="14"/>
      <c r="L388" s="11"/>
      <c r="M388" s="15"/>
      <c r="N388" s="15"/>
      <c r="P388" t="s">
        <v>147</v>
      </c>
      <c r="Q388" t="s">
        <v>143</v>
      </c>
      <c r="R388" s="129" t="str">
        <f t="shared" si="43"/>
        <v/>
      </c>
      <c r="S388" s="3">
        <f t="shared" si="45"/>
        <v>1</v>
      </c>
      <c r="T388" s="3" t="s">
        <v>90</v>
      </c>
      <c r="U388" s="185" t="str">
        <f t="shared" si="41"/>
        <v>N/A</v>
      </c>
    </row>
    <row r="389" spans="1:21" ht="18.75" customHeight="1" x14ac:dyDescent="0.35">
      <c r="A389" s="11"/>
      <c r="B389" s="11"/>
      <c r="C389" s="11"/>
      <c r="D389" s="11"/>
      <c r="E389" s="12"/>
      <c r="F389" s="13"/>
      <c r="G389" s="13"/>
      <c r="H389" s="14"/>
      <c r="I389" s="11"/>
      <c r="J389" s="129" t="str">
        <f t="shared" si="46"/>
        <v/>
      </c>
      <c r="K389" s="14"/>
      <c r="L389" s="11"/>
      <c r="M389" s="15"/>
      <c r="N389" s="15"/>
      <c r="P389" t="s">
        <v>147</v>
      </c>
      <c r="Q389" t="s">
        <v>143</v>
      </c>
      <c r="R389" s="129" t="str">
        <f t="shared" si="43"/>
        <v/>
      </c>
      <c r="S389" s="3">
        <f t="shared" si="45"/>
        <v>1</v>
      </c>
      <c r="T389" s="3" t="s">
        <v>90</v>
      </c>
      <c r="U389" s="185" t="str">
        <f t="shared" si="41"/>
        <v>N/A</v>
      </c>
    </row>
    <row r="390" spans="1:21" ht="18.75" customHeight="1" x14ac:dyDescent="0.35">
      <c r="A390" s="11"/>
      <c r="B390" s="11"/>
      <c r="C390" s="11"/>
      <c r="D390" s="11"/>
      <c r="E390" s="12"/>
      <c r="F390" s="13"/>
      <c r="G390" s="13"/>
      <c r="H390" s="14"/>
      <c r="I390" s="11"/>
      <c r="J390" s="129" t="str">
        <f t="shared" si="46"/>
        <v/>
      </c>
      <c r="K390" s="14"/>
      <c r="L390" s="11"/>
      <c r="M390" s="15"/>
      <c r="N390" s="15"/>
      <c r="P390" t="s">
        <v>147</v>
      </c>
      <c r="Q390" t="s">
        <v>143</v>
      </c>
      <c r="R390" s="129" t="str">
        <f t="shared" si="43"/>
        <v/>
      </c>
      <c r="S390" s="3">
        <f t="shared" ref="S390:S401" si="47">IF(OR($C$2="",$C$2="Large HMO"),1,0)</f>
        <v>1</v>
      </c>
      <c r="T390" s="3" t="s">
        <v>90</v>
      </c>
      <c r="U390" s="185" t="str">
        <f t="shared" si="41"/>
        <v>N/A</v>
      </c>
    </row>
    <row r="391" spans="1:21" ht="18.75" customHeight="1" x14ac:dyDescent="0.35">
      <c r="A391" s="11"/>
      <c r="B391" s="11"/>
      <c r="C391" s="11"/>
      <c r="D391" s="11"/>
      <c r="E391" s="12"/>
      <c r="F391" s="13"/>
      <c r="G391" s="13"/>
      <c r="H391" s="14"/>
      <c r="I391" s="11"/>
      <c r="J391" s="129" t="str">
        <f t="shared" si="46"/>
        <v/>
      </c>
      <c r="K391" s="14"/>
      <c r="L391" s="11"/>
      <c r="M391" s="15"/>
      <c r="N391" s="15"/>
      <c r="P391" t="s">
        <v>147</v>
      </c>
      <c r="Q391" t="s">
        <v>143</v>
      </c>
      <c r="R391" s="129" t="str">
        <f t="shared" si="43"/>
        <v/>
      </c>
      <c r="S391" s="3">
        <f t="shared" si="47"/>
        <v>1</v>
      </c>
      <c r="T391" s="3" t="s">
        <v>90</v>
      </c>
      <c r="U391" s="185" t="str">
        <f t="shared" si="41"/>
        <v>N/A</v>
      </c>
    </row>
    <row r="392" spans="1:21" ht="18.75" customHeight="1" x14ac:dyDescent="0.35">
      <c r="A392" s="11"/>
      <c r="B392" s="11"/>
      <c r="C392" s="11"/>
      <c r="D392" s="11"/>
      <c r="E392" s="12"/>
      <c r="F392" s="13"/>
      <c r="G392" s="13"/>
      <c r="H392" s="14"/>
      <c r="I392" s="11"/>
      <c r="J392" s="129" t="str">
        <f t="shared" si="46"/>
        <v/>
      </c>
      <c r="K392" s="14"/>
      <c r="L392" s="11"/>
      <c r="M392" s="15"/>
      <c r="N392" s="15"/>
      <c r="P392" t="s">
        <v>147</v>
      </c>
      <c r="Q392" t="s">
        <v>143</v>
      </c>
      <c r="R392" s="129" t="str">
        <f t="shared" si="43"/>
        <v/>
      </c>
      <c r="S392" s="3">
        <f t="shared" si="47"/>
        <v>1</v>
      </c>
      <c r="T392" s="3" t="s">
        <v>90</v>
      </c>
      <c r="U392" s="185" t="str">
        <f t="shared" si="41"/>
        <v>N/A</v>
      </c>
    </row>
    <row r="393" spans="1:21" ht="18.75" customHeight="1" x14ac:dyDescent="0.35">
      <c r="A393" s="11"/>
      <c r="B393" s="11"/>
      <c r="C393" s="11"/>
      <c r="D393" s="11"/>
      <c r="E393" s="12"/>
      <c r="F393" s="13"/>
      <c r="G393" s="13"/>
      <c r="H393" s="14"/>
      <c r="I393" s="11"/>
      <c r="J393" s="129" t="str">
        <f t="shared" si="46"/>
        <v/>
      </c>
      <c r="K393" s="14"/>
      <c r="L393" s="11"/>
      <c r="M393" s="15"/>
      <c r="N393" s="15"/>
      <c r="P393" t="s">
        <v>147</v>
      </c>
      <c r="Q393" t="s">
        <v>143</v>
      </c>
      <c r="R393" s="129" t="str">
        <f t="shared" si="43"/>
        <v/>
      </c>
      <c r="S393" s="3">
        <f t="shared" si="47"/>
        <v>1</v>
      </c>
      <c r="T393" s="3" t="s">
        <v>90</v>
      </c>
      <c r="U393" s="185" t="str">
        <f t="shared" si="41"/>
        <v>N/A</v>
      </c>
    </row>
    <row r="394" spans="1:21" ht="18.75" customHeight="1" x14ac:dyDescent="0.35">
      <c r="A394" s="11"/>
      <c r="B394" s="11"/>
      <c r="C394" s="11"/>
      <c r="D394" s="11"/>
      <c r="E394" s="12"/>
      <c r="F394" s="13"/>
      <c r="G394" s="13"/>
      <c r="H394" s="14"/>
      <c r="I394" s="11"/>
      <c r="J394" s="129" t="str">
        <f t="shared" si="46"/>
        <v/>
      </c>
      <c r="K394" s="14"/>
      <c r="L394" s="11"/>
      <c r="M394" s="15"/>
      <c r="N394" s="15"/>
      <c r="P394" t="s">
        <v>147</v>
      </c>
      <c r="Q394" t="s">
        <v>143</v>
      </c>
      <c r="R394" s="129" t="str">
        <f t="shared" si="43"/>
        <v/>
      </c>
      <c r="S394" s="3">
        <f t="shared" si="47"/>
        <v>1</v>
      </c>
      <c r="T394" s="3" t="s">
        <v>90</v>
      </c>
      <c r="U394" s="185" t="str">
        <f t="shared" si="41"/>
        <v>N/A</v>
      </c>
    </row>
    <row r="395" spans="1:21" ht="18.75" customHeight="1" x14ac:dyDescent="0.35">
      <c r="A395" s="11"/>
      <c r="B395" s="11"/>
      <c r="C395" s="11"/>
      <c r="D395" s="11"/>
      <c r="E395" s="12"/>
      <c r="F395" s="13"/>
      <c r="G395" s="13"/>
      <c r="H395" s="14"/>
      <c r="I395" s="11"/>
      <c r="J395" s="129" t="str">
        <f t="shared" si="46"/>
        <v/>
      </c>
      <c r="K395" s="14"/>
      <c r="L395" s="11"/>
      <c r="M395" s="15"/>
      <c r="N395" s="15"/>
      <c r="P395" t="s">
        <v>147</v>
      </c>
      <c r="Q395" t="s">
        <v>143</v>
      </c>
      <c r="R395" s="129" t="str">
        <f t="shared" si="43"/>
        <v/>
      </c>
      <c r="S395" s="3">
        <f t="shared" si="47"/>
        <v>1</v>
      </c>
      <c r="T395" s="3" t="s">
        <v>90</v>
      </c>
      <c r="U395" s="185" t="str">
        <f t="shared" si="41"/>
        <v>N/A</v>
      </c>
    </row>
    <row r="396" spans="1:21" ht="18.75" customHeight="1" x14ac:dyDescent="0.35">
      <c r="A396" s="11"/>
      <c r="B396" s="11"/>
      <c r="C396" s="11"/>
      <c r="D396" s="11"/>
      <c r="E396" s="12"/>
      <c r="F396" s="13"/>
      <c r="G396" s="13"/>
      <c r="H396" s="14"/>
      <c r="I396" s="11"/>
      <c r="J396" s="129" t="str">
        <f t="shared" si="46"/>
        <v/>
      </c>
      <c r="K396" s="14"/>
      <c r="L396" s="11"/>
      <c r="M396" s="15"/>
      <c r="N396" s="15"/>
      <c r="P396" t="s">
        <v>147</v>
      </c>
      <c r="Q396" t="s">
        <v>143</v>
      </c>
      <c r="R396" s="129" t="str">
        <f t="shared" si="43"/>
        <v/>
      </c>
      <c r="S396" s="3">
        <f t="shared" si="47"/>
        <v>1</v>
      </c>
      <c r="T396" s="3" t="s">
        <v>90</v>
      </c>
      <c r="U396" s="185" t="str">
        <f t="shared" si="41"/>
        <v>N/A</v>
      </c>
    </row>
    <row r="397" spans="1:21" ht="18.75" customHeight="1" x14ac:dyDescent="0.35">
      <c r="A397" s="11"/>
      <c r="B397" s="11"/>
      <c r="C397" s="11"/>
      <c r="D397" s="11"/>
      <c r="E397" s="12"/>
      <c r="F397" s="13"/>
      <c r="G397" s="13"/>
      <c r="H397" s="14"/>
      <c r="I397" s="11"/>
      <c r="J397" s="129" t="str">
        <f t="shared" si="46"/>
        <v/>
      </c>
      <c r="K397" s="14"/>
      <c r="L397" s="11"/>
      <c r="M397" s="15"/>
      <c r="N397" s="15"/>
      <c r="P397" t="s">
        <v>147</v>
      </c>
      <c r="Q397" t="s">
        <v>143</v>
      </c>
      <c r="R397" s="129" t="str">
        <f t="shared" si="43"/>
        <v/>
      </c>
      <c r="S397" s="3">
        <f t="shared" si="47"/>
        <v>1</v>
      </c>
      <c r="T397" s="3" t="s">
        <v>90</v>
      </c>
      <c r="U397" s="185" t="str">
        <f t="shared" si="41"/>
        <v>N/A</v>
      </c>
    </row>
    <row r="398" spans="1:21" ht="18.75" customHeight="1" x14ac:dyDescent="0.35">
      <c r="A398" s="11"/>
      <c r="B398" s="11"/>
      <c r="C398" s="11"/>
      <c r="D398" s="11"/>
      <c r="E398" s="12"/>
      <c r="F398" s="13"/>
      <c r="G398" s="13"/>
      <c r="H398" s="14"/>
      <c r="I398" s="11"/>
      <c r="J398" s="129" t="str">
        <f t="shared" si="46"/>
        <v/>
      </c>
      <c r="K398" s="14"/>
      <c r="L398" s="11"/>
      <c r="M398" s="15"/>
      <c r="N398" s="15"/>
      <c r="P398" t="s">
        <v>147</v>
      </c>
      <c r="Q398" t="s">
        <v>143</v>
      </c>
      <c r="R398" s="129" t="str">
        <f t="shared" si="43"/>
        <v/>
      </c>
      <c r="S398" s="3">
        <f t="shared" si="47"/>
        <v>1</v>
      </c>
      <c r="T398" s="3" t="s">
        <v>90</v>
      </c>
      <c r="U398" s="185" t="str">
        <f t="shared" ref="U398:U401" si="48">IF(C398="Discount",IF(OR(T398=$W$8,T398=$W$10,T398=$W$11,T398=$W$19,T398=$W$20,T398=$W$21,T398=$W$22),$AI$5-F398,$AH$5-F398),IF(C398="Tracker",F398-$AG$5,"N/A"))</f>
        <v>N/A</v>
      </c>
    </row>
    <row r="399" spans="1:21" ht="18.75" customHeight="1" x14ac:dyDescent="0.35">
      <c r="A399" s="11"/>
      <c r="B399" s="11"/>
      <c r="C399" s="11"/>
      <c r="D399" s="11"/>
      <c r="E399" s="12"/>
      <c r="F399" s="13"/>
      <c r="G399" s="13"/>
      <c r="H399" s="14"/>
      <c r="I399" s="11"/>
      <c r="J399" s="129" t="str">
        <f t="shared" si="46"/>
        <v/>
      </c>
      <c r="K399" s="14"/>
      <c r="L399" s="11"/>
      <c r="M399" s="15"/>
      <c r="N399" s="15"/>
      <c r="P399" t="s">
        <v>147</v>
      </c>
      <c r="Q399" t="s">
        <v>143</v>
      </c>
      <c r="R399" s="129" t="str">
        <f t="shared" si="43"/>
        <v/>
      </c>
      <c r="S399" s="3">
        <f t="shared" si="47"/>
        <v>1</v>
      </c>
      <c r="T399" s="3" t="s">
        <v>90</v>
      </c>
      <c r="U399" s="185" t="str">
        <f t="shared" si="48"/>
        <v>N/A</v>
      </c>
    </row>
    <row r="400" spans="1:21" ht="18.75" customHeight="1" x14ac:dyDescent="0.35">
      <c r="A400" s="11"/>
      <c r="B400" s="11"/>
      <c r="C400" s="11"/>
      <c r="D400" s="11"/>
      <c r="E400" s="12"/>
      <c r="F400" s="13"/>
      <c r="G400" s="13"/>
      <c r="H400" s="14"/>
      <c r="I400" s="11"/>
      <c r="J400" s="129" t="str">
        <f t="shared" si="46"/>
        <v/>
      </c>
      <c r="K400" s="14"/>
      <c r="L400" s="11"/>
      <c r="M400" s="15"/>
      <c r="N400" s="15"/>
      <c r="P400" t="s">
        <v>147</v>
      </c>
      <c r="Q400" t="s">
        <v>143</v>
      </c>
      <c r="R400" s="129" t="str">
        <f t="shared" si="43"/>
        <v/>
      </c>
      <c r="S400" s="3">
        <f t="shared" si="47"/>
        <v>1</v>
      </c>
      <c r="T400" s="3" t="s">
        <v>90</v>
      </c>
      <c r="U400" s="185" t="str">
        <f t="shared" si="48"/>
        <v>N/A</v>
      </c>
    </row>
    <row r="401" spans="1:21" ht="18.75" customHeight="1" x14ac:dyDescent="0.35">
      <c r="A401" s="57"/>
      <c r="B401" s="57"/>
      <c r="C401" s="57"/>
      <c r="D401" s="57"/>
      <c r="E401" s="59"/>
      <c r="F401" s="60"/>
      <c r="G401" s="60"/>
      <c r="H401" s="56"/>
      <c r="I401" s="57"/>
      <c r="J401" s="129" t="str">
        <f t="shared" si="46"/>
        <v/>
      </c>
      <c r="K401" s="56"/>
      <c r="L401" s="57"/>
      <c r="M401" s="61"/>
      <c r="N401" s="61"/>
      <c r="P401" t="s">
        <v>147</v>
      </c>
      <c r="Q401" t="s">
        <v>143</v>
      </c>
      <c r="R401" s="129" t="str">
        <f t="shared" si="43"/>
        <v/>
      </c>
      <c r="S401" s="3">
        <f t="shared" si="47"/>
        <v>1</v>
      </c>
      <c r="T401" s="3" t="s">
        <v>90</v>
      </c>
      <c r="U401" s="185" t="str">
        <f t="shared" si="48"/>
        <v>N/A</v>
      </c>
    </row>
    <row r="402" spans="1:21" ht="18.75" customHeight="1" x14ac:dyDescent="0.35">
      <c r="A402" s="246" t="s">
        <v>99</v>
      </c>
      <c r="B402" s="247"/>
      <c r="C402" s="247"/>
      <c r="D402" s="247"/>
      <c r="E402" s="247"/>
      <c r="F402" s="247"/>
      <c r="G402" s="247"/>
      <c r="H402" s="247"/>
      <c r="I402" s="247"/>
      <c r="J402" s="247"/>
      <c r="K402" s="247"/>
      <c r="L402" s="247"/>
      <c r="M402" s="247"/>
      <c r="N402" s="248"/>
    </row>
    <row r="403" spans="1:21" ht="18.75" customHeight="1" x14ac:dyDescent="0.35">
      <c r="A403" s="11"/>
      <c r="B403" s="11"/>
      <c r="C403" s="11"/>
      <c r="D403" s="11"/>
      <c r="E403" s="12"/>
      <c r="F403" s="13"/>
      <c r="G403" s="13"/>
      <c r="H403" s="14"/>
      <c r="I403" s="11"/>
      <c r="J403" s="129" t="str">
        <f t="shared" ref="J403:J422" si="49">IF(A403="","","Yes")</f>
        <v/>
      </c>
      <c r="K403" s="14"/>
      <c r="L403" s="11"/>
      <c r="M403" s="15"/>
      <c r="N403" s="15"/>
      <c r="R403" s="129" t="str">
        <f t="shared" ref="R403:R422" si="50">IF(OR(E403&gt;=100%,A403=""),"",A403)</f>
        <v/>
      </c>
    </row>
    <row r="404" spans="1:21" ht="18.75" customHeight="1" x14ac:dyDescent="0.35">
      <c r="A404" s="11"/>
      <c r="B404" s="11"/>
      <c r="C404" s="11"/>
      <c r="D404" s="11"/>
      <c r="E404" s="12"/>
      <c r="F404" s="13"/>
      <c r="G404" s="13"/>
      <c r="H404" s="14"/>
      <c r="I404" s="11"/>
      <c r="J404" s="129" t="str">
        <f t="shared" si="49"/>
        <v/>
      </c>
      <c r="K404" s="14"/>
      <c r="L404" s="11"/>
      <c r="M404" s="15"/>
      <c r="N404" s="15"/>
      <c r="R404" s="129" t="str">
        <f t="shared" si="50"/>
        <v/>
      </c>
    </row>
    <row r="405" spans="1:21" ht="18.75" customHeight="1" x14ac:dyDescent="0.35">
      <c r="A405" s="11"/>
      <c r="B405" s="11"/>
      <c r="C405" s="11"/>
      <c r="D405" s="11"/>
      <c r="E405" s="12"/>
      <c r="F405" s="13"/>
      <c r="G405" s="13"/>
      <c r="H405" s="14"/>
      <c r="I405" s="11"/>
      <c r="J405" s="129" t="str">
        <f t="shared" si="49"/>
        <v/>
      </c>
      <c r="K405" s="14"/>
      <c r="L405" s="11"/>
      <c r="M405" s="15"/>
      <c r="N405" s="15"/>
      <c r="R405" s="129" t="str">
        <f t="shared" si="50"/>
        <v/>
      </c>
    </row>
    <row r="406" spans="1:21" ht="18.75" customHeight="1" x14ac:dyDescent="0.35">
      <c r="A406" s="11"/>
      <c r="B406" s="11"/>
      <c r="C406" s="11"/>
      <c r="D406" s="11"/>
      <c r="E406" s="12"/>
      <c r="F406" s="13"/>
      <c r="G406" s="13"/>
      <c r="H406" s="14"/>
      <c r="I406" s="11"/>
      <c r="J406" s="129" t="str">
        <f t="shared" si="49"/>
        <v/>
      </c>
      <c r="K406" s="14"/>
      <c r="L406" s="11"/>
      <c r="M406" s="15"/>
      <c r="N406" s="15"/>
      <c r="R406" s="129" t="str">
        <f t="shared" si="50"/>
        <v/>
      </c>
    </row>
    <row r="407" spans="1:21" ht="18.75" customHeight="1" x14ac:dyDescent="0.35">
      <c r="A407" s="11"/>
      <c r="B407" s="11"/>
      <c r="C407" s="11"/>
      <c r="D407" s="11"/>
      <c r="E407" s="12"/>
      <c r="F407" s="13"/>
      <c r="G407" s="13"/>
      <c r="H407" s="14"/>
      <c r="I407" s="11"/>
      <c r="J407" s="129" t="str">
        <f t="shared" si="49"/>
        <v/>
      </c>
      <c r="K407" s="14"/>
      <c r="L407" s="11"/>
      <c r="M407" s="15"/>
      <c r="N407" s="15"/>
      <c r="R407" s="129" t="str">
        <f t="shared" si="50"/>
        <v/>
      </c>
    </row>
    <row r="408" spans="1:21" ht="18.75" customHeight="1" x14ac:dyDescent="0.35">
      <c r="A408" s="11"/>
      <c r="B408" s="11"/>
      <c r="C408" s="11"/>
      <c r="D408" s="11"/>
      <c r="E408" s="12"/>
      <c r="F408" s="13"/>
      <c r="G408" s="13"/>
      <c r="H408" s="14"/>
      <c r="I408" s="11"/>
      <c r="J408" s="129" t="str">
        <f t="shared" si="49"/>
        <v/>
      </c>
      <c r="K408" s="14"/>
      <c r="L408" s="11"/>
      <c r="M408" s="15"/>
      <c r="N408" s="15"/>
      <c r="R408" s="129" t="str">
        <f t="shared" si="50"/>
        <v/>
      </c>
    </row>
    <row r="409" spans="1:21" ht="18.75" customHeight="1" x14ac:dyDescent="0.35">
      <c r="A409" s="11"/>
      <c r="B409" s="11"/>
      <c r="C409" s="11"/>
      <c r="D409" s="11"/>
      <c r="E409" s="12"/>
      <c r="F409" s="13"/>
      <c r="G409" s="13"/>
      <c r="H409" s="14"/>
      <c r="I409" s="11"/>
      <c r="J409" s="129" t="str">
        <f t="shared" si="49"/>
        <v/>
      </c>
      <c r="K409" s="14"/>
      <c r="L409" s="11"/>
      <c r="M409" s="15"/>
      <c r="N409" s="15"/>
      <c r="R409" s="129" t="str">
        <f t="shared" si="50"/>
        <v/>
      </c>
    </row>
    <row r="410" spans="1:21" ht="18.75" customHeight="1" x14ac:dyDescent="0.35">
      <c r="A410" s="11"/>
      <c r="B410" s="11"/>
      <c r="C410" s="11"/>
      <c r="D410" s="11"/>
      <c r="E410" s="12"/>
      <c r="F410" s="13"/>
      <c r="G410" s="13"/>
      <c r="H410" s="14"/>
      <c r="I410" s="11"/>
      <c r="J410" s="129" t="str">
        <f t="shared" si="49"/>
        <v/>
      </c>
      <c r="K410" s="14"/>
      <c r="L410" s="11"/>
      <c r="M410" s="15"/>
      <c r="N410" s="15"/>
      <c r="R410" s="129" t="str">
        <f t="shared" si="50"/>
        <v/>
      </c>
    </row>
    <row r="411" spans="1:21" ht="18.75" customHeight="1" x14ac:dyDescent="0.35">
      <c r="A411" s="11"/>
      <c r="B411" s="11"/>
      <c r="C411" s="11"/>
      <c r="D411" s="11"/>
      <c r="E411" s="12"/>
      <c r="F411" s="13"/>
      <c r="G411" s="13"/>
      <c r="H411" s="14"/>
      <c r="I411" s="11"/>
      <c r="J411" s="129" t="str">
        <f t="shared" si="49"/>
        <v/>
      </c>
      <c r="K411" s="14"/>
      <c r="L411" s="11"/>
      <c r="M411" s="15"/>
      <c r="N411" s="15"/>
      <c r="R411" s="129" t="str">
        <f t="shared" si="50"/>
        <v/>
      </c>
    </row>
    <row r="412" spans="1:21" ht="18.75" customHeight="1" x14ac:dyDescent="0.35">
      <c r="A412" s="11"/>
      <c r="B412" s="11"/>
      <c r="C412" s="11"/>
      <c r="D412" s="11"/>
      <c r="E412" s="12"/>
      <c r="F412" s="13"/>
      <c r="G412" s="13"/>
      <c r="H412" s="14"/>
      <c r="I412" s="11"/>
      <c r="J412" s="129" t="str">
        <f t="shared" si="49"/>
        <v/>
      </c>
      <c r="K412" s="14"/>
      <c r="L412" s="11"/>
      <c r="M412" s="15"/>
      <c r="N412" s="15"/>
      <c r="R412" s="129" t="str">
        <f t="shared" si="50"/>
        <v/>
      </c>
    </row>
    <row r="413" spans="1:21" ht="18.75" customHeight="1" x14ac:dyDescent="0.35">
      <c r="A413" s="11"/>
      <c r="B413" s="11"/>
      <c r="C413" s="11"/>
      <c r="D413" s="11"/>
      <c r="E413" s="12"/>
      <c r="F413" s="13"/>
      <c r="G413" s="13"/>
      <c r="H413" s="14"/>
      <c r="I413" s="11"/>
      <c r="J413" s="129" t="str">
        <f t="shared" si="49"/>
        <v/>
      </c>
      <c r="K413" s="14"/>
      <c r="L413" s="11"/>
      <c r="M413" s="15"/>
      <c r="N413" s="15"/>
      <c r="R413" s="129" t="str">
        <f t="shared" si="50"/>
        <v/>
      </c>
    </row>
    <row r="414" spans="1:21" ht="18.75" customHeight="1" x14ac:dyDescent="0.35">
      <c r="A414" s="11"/>
      <c r="B414" s="11"/>
      <c r="C414" s="11"/>
      <c r="D414" s="11"/>
      <c r="E414" s="12"/>
      <c r="F414" s="13"/>
      <c r="G414" s="13"/>
      <c r="H414" s="14"/>
      <c r="I414" s="11"/>
      <c r="J414" s="129" t="str">
        <f t="shared" si="49"/>
        <v/>
      </c>
      <c r="K414" s="14"/>
      <c r="L414" s="11"/>
      <c r="M414" s="15"/>
      <c r="N414" s="15"/>
      <c r="R414" s="129" t="str">
        <f t="shared" si="50"/>
        <v/>
      </c>
    </row>
    <row r="415" spans="1:21" ht="18.75" customHeight="1" x14ac:dyDescent="0.35">
      <c r="A415" s="11"/>
      <c r="B415" s="11"/>
      <c r="C415" s="11"/>
      <c r="D415" s="11"/>
      <c r="E415" s="12"/>
      <c r="F415" s="13"/>
      <c r="G415" s="13"/>
      <c r="H415" s="14"/>
      <c r="I415" s="11"/>
      <c r="J415" s="129" t="str">
        <f t="shared" si="49"/>
        <v/>
      </c>
      <c r="K415" s="14"/>
      <c r="L415" s="11"/>
      <c r="M415" s="15"/>
      <c r="N415" s="15"/>
      <c r="R415" s="129" t="str">
        <f t="shared" si="50"/>
        <v/>
      </c>
    </row>
    <row r="416" spans="1:21" ht="18.75" customHeight="1" x14ac:dyDescent="0.35">
      <c r="A416" s="11"/>
      <c r="B416" s="11"/>
      <c r="C416" s="11"/>
      <c r="D416" s="11"/>
      <c r="E416" s="12"/>
      <c r="F416" s="13"/>
      <c r="G416" s="13"/>
      <c r="H416" s="14"/>
      <c r="I416" s="11"/>
      <c r="J416" s="129" t="str">
        <f t="shared" si="49"/>
        <v/>
      </c>
      <c r="K416" s="14"/>
      <c r="L416" s="11"/>
      <c r="M416" s="15"/>
      <c r="N416" s="15"/>
      <c r="R416" s="129" t="str">
        <f t="shared" si="50"/>
        <v/>
      </c>
    </row>
    <row r="417" spans="1:18" ht="18.75" customHeight="1" x14ac:dyDescent="0.35">
      <c r="A417" s="11"/>
      <c r="B417" s="11"/>
      <c r="C417" s="11"/>
      <c r="D417" s="11"/>
      <c r="E417" s="12"/>
      <c r="F417" s="13"/>
      <c r="G417" s="13"/>
      <c r="H417" s="14"/>
      <c r="I417" s="11"/>
      <c r="J417" s="129" t="str">
        <f t="shared" si="49"/>
        <v/>
      </c>
      <c r="K417" s="14"/>
      <c r="L417" s="11"/>
      <c r="M417" s="15"/>
      <c r="N417" s="15"/>
      <c r="R417" s="129" t="str">
        <f t="shared" si="50"/>
        <v/>
      </c>
    </row>
    <row r="418" spans="1:18" ht="18.75" customHeight="1" x14ac:dyDescent="0.35">
      <c r="A418" s="11"/>
      <c r="B418" s="11"/>
      <c r="C418" s="11"/>
      <c r="D418" s="11"/>
      <c r="E418" s="12"/>
      <c r="F418" s="13"/>
      <c r="G418" s="13"/>
      <c r="H418" s="14"/>
      <c r="I418" s="11"/>
      <c r="J418" s="129" t="str">
        <f t="shared" si="49"/>
        <v/>
      </c>
      <c r="K418" s="14"/>
      <c r="L418" s="11"/>
      <c r="M418" s="15"/>
      <c r="N418" s="15"/>
      <c r="R418" s="129" t="str">
        <f t="shared" si="50"/>
        <v/>
      </c>
    </row>
    <row r="419" spans="1:18" ht="18.75" customHeight="1" x14ac:dyDescent="0.35">
      <c r="A419" s="11"/>
      <c r="B419" s="11"/>
      <c r="C419" s="11"/>
      <c r="D419" s="11"/>
      <c r="E419" s="12"/>
      <c r="F419" s="13"/>
      <c r="G419" s="13"/>
      <c r="H419" s="14"/>
      <c r="I419" s="11"/>
      <c r="J419" s="129" t="str">
        <f t="shared" si="49"/>
        <v/>
      </c>
      <c r="K419" s="14"/>
      <c r="L419" s="11"/>
      <c r="M419" s="15"/>
      <c r="N419" s="15"/>
      <c r="R419" s="129" t="str">
        <f t="shared" si="50"/>
        <v/>
      </c>
    </row>
    <row r="420" spans="1:18" ht="18.75" customHeight="1" x14ac:dyDescent="0.35">
      <c r="A420" s="11"/>
      <c r="B420" s="11"/>
      <c r="C420" s="11"/>
      <c r="D420" s="11"/>
      <c r="E420" s="12"/>
      <c r="F420" s="13"/>
      <c r="G420" s="13"/>
      <c r="H420" s="14"/>
      <c r="I420" s="11"/>
      <c r="J420" s="129" t="str">
        <f t="shared" si="49"/>
        <v/>
      </c>
      <c r="K420" s="14"/>
      <c r="L420" s="11"/>
      <c r="M420" s="15"/>
      <c r="N420" s="15"/>
      <c r="R420" s="129" t="str">
        <f t="shared" si="50"/>
        <v/>
      </c>
    </row>
    <row r="421" spans="1:18" ht="18.75" customHeight="1" x14ac:dyDescent="0.35">
      <c r="A421" s="11"/>
      <c r="B421" s="11"/>
      <c r="C421" s="11"/>
      <c r="D421" s="11"/>
      <c r="E421" s="12"/>
      <c r="F421" s="13"/>
      <c r="G421" s="13"/>
      <c r="H421" s="14"/>
      <c r="I421" s="11"/>
      <c r="J421" s="129" t="str">
        <f t="shared" si="49"/>
        <v/>
      </c>
      <c r="K421" s="14"/>
      <c r="L421" s="11"/>
      <c r="M421" s="15"/>
      <c r="N421" s="15"/>
      <c r="R421" s="129" t="str">
        <f t="shared" si="50"/>
        <v/>
      </c>
    </row>
    <row r="422" spans="1:18" ht="18.75" customHeight="1" x14ac:dyDescent="0.35">
      <c r="A422" s="57"/>
      <c r="B422" s="57"/>
      <c r="C422" s="57"/>
      <c r="D422" s="57"/>
      <c r="E422" s="59"/>
      <c r="F422" s="60"/>
      <c r="G422" s="60"/>
      <c r="H422" s="56"/>
      <c r="I422" s="57"/>
      <c r="J422" s="129" t="str">
        <f t="shared" si="49"/>
        <v/>
      </c>
      <c r="K422" s="56"/>
      <c r="L422" s="57"/>
      <c r="M422" s="61"/>
      <c r="N422" s="61"/>
      <c r="R422" s="129" t="str">
        <f t="shared" si="50"/>
        <v/>
      </c>
    </row>
    <row r="423" spans="1:18" ht="18.75" customHeight="1" x14ac:dyDescent="0.35">
      <c r="A423" s="246" t="s">
        <v>100</v>
      </c>
      <c r="B423" s="247"/>
      <c r="C423" s="247"/>
      <c r="D423" s="247"/>
      <c r="E423" s="247"/>
      <c r="F423" s="247"/>
      <c r="G423" s="247"/>
      <c r="H423" s="247"/>
      <c r="I423" s="247"/>
      <c r="J423" s="247"/>
      <c r="K423" s="247"/>
      <c r="L423" s="247"/>
      <c r="M423" s="247"/>
      <c r="N423" s="248"/>
    </row>
    <row r="424" spans="1:18" ht="18.75" customHeight="1" x14ac:dyDescent="0.35">
      <c r="A424" s="11"/>
      <c r="B424" s="11"/>
      <c r="C424" s="11"/>
      <c r="D424" s="11"/>
      <c r="E424" s="12"/>
      <c r="F424" s="13"/>
      <c r="G424" s="13"/>
      <c r="H424" s="14"/>
      <c r="I424" s="11"/>
      <c r="J424" s="129" t="str">
        <f t="shared" ref="J424:J443" si="51">IF(A424="","","Yes")</f>
        <v/>
      </c>
      <c r="K424" s="14"/>
      <c r="L424" s="11"/>
      <c r="M424" s="15"/>
      <c r="N424" s="15"/>
      <c r="R424" s="129" t="str">
        <f t="shared" ref="R424:R443" si="52">IF(OR(E424&gt;=100%,A424=""),"",A424)</f>
        <v/>
      </c>
    </row>
    <row r="425" spans="1:18" ht="18.75" customHeight="1" x14ac:dyDescent="0.35">
      <c r="A425" s="11"/>
      <c r="B425" s="11"/>
      <c r="C425" s="11"/>
      <c r="D425" s="11"/>
      <c r="E425" s="12"/>
      <c r="F425" s="13"/>
      <c r="G425" s="13"/>
      <c r="H425" s="14"/>
      <c r="I425" s="11"/>
      <c r="J425" s="129" t="str">
        <f t="shared" si="51"/>
        <v/>
      </c>
      <c r="K425" s="14"/>
      <c r="L425" s="11"/>
      <c r="M425" s="15"/>
      <c r="N425" s="15"/>
      <c r="R425" s="129" t="str">
        <f t="shared" si="52"/>
        <v/>
      </c>
    </row>
    <row r="426" spans="1:18" ht="18.75" customHeight="1" x14ac:dyDescent="0.35">
      <c r="A426" s="11"/>
      <c r="B426" s="11"/>
      <c r="C426" s="11"/>
      <c r="D426" s="11"/>
      <c r="E426" s="12"/>
      <c r="F426" s="13"/>
      <c r="G426" s="13"/>
      <c r="H426" s="14"/>
      <c r="I426" s="11"/>
      <c r="J426" s="129" t="str">
        <f t="shared" si="51"/>
        <v/>
      </c>
      <c r="K426" s="14"/>
      <c r="L426" s="11"/>
      <c r="M426" s="15"/>
      <c r="N426" s="15"/>
      <c r="R426" s="129" t="str">
        <f t="shared" si="52"/>
        <v/>
      </c>
    </row>
    <row r="427" spans="1:18" ht="18.75" customHeight="1" x14ac:dyDescent="0.35">
      <c r="A427" s="11"/>
      <c r="B427" s="11"/>
      <c r="C427" s="11"/>
      <c r="D427" s="11"/>
      <c r="E427" s="12"/>
      <c r="F427" s="13"/>
      <c r="G427" s="13"/>
      <c r="H427" s="14"/>
      <c r="I427" s="11"/>
      <c r="J427" s="129" t="str">
        <f t="shared" si="51"/>
        <v/>
      </c>
      <c r="K427" s="14"/>
      <c r="L427" s="11"/>
      <c r="M427" s="15"/>
      <c r="N427" s="15"/>
      <c r="R427" s="129" t="str">
        <f t="shared" si="52"/>
        <v/>
      </c>
    </row>
    <row r="428" spans="1:18" ht="18.75" customHeight="1" x14ac:dyDescent="0.35">
      <c r="A428" s="11"/>
      <c r="B428" s="11"/>
      <c r="C428" s="11"/>
      <c r="D428" s="11"/>
      <c r="E428" s="12"/>
      <c r="F428" s="13"/>
      <c r="G428" s="13"/>
      <c r="H428" s="14"/>
      <c r="I428" s="11"/>
      <c r="J428" s="129" t="str">
        <f t="shared" si="51"/>
        <v/>
      </c>
      <c r="K428" s="14"/>
      <c r="L428" s="11"/>
      <c r="M428" s="15"/>
      <c r="N428" s="15"/>
      <c r="R428" s="129" t="str">
        <f t="shared" si="52"/>
        <v/>
      </c>
    </row>
    <row r="429" spans="1:18" ht="18.75" customHeight="1" x14ac:dyDescent="0.35">
      <c r="A429" s="11"/>
      <c r="B429" s="11"/>
      <c r="C429" s="11"/>
      <c r="D429" s="11"/>
      <c r="E429" s="12"/>
      <c r="F429" s="13"/>
      <c r="G429" s="13"/>
      <c r="H429" s="14"/>
      <c r="I429" s="11"/>
      <c r="J429" s="129" t="str">
        <f t="shared" si="51"/>
        <v/>
      </c>
      <c r="K429" s="14"/>
      <c r="L429" s="11"/>
      <c r="M429" s="15"/>
      <c r="N429" s="15"/>
      <c r="R429" s="129" t="str">
        <f t="shared" si="52"/>
        <v/>
      </c>
    </row>
    <row r="430" spans="1:18" ht="18.75" customHeight="1" x14ac:dyDescent="0.35">
      <c r="A430" s="11"/>
      <c r="B430" s="11"/>
      <c r="C430" s="11"/>
      <c r="D430" s="11"/>
      <c r="E430" s="12"/>
      <c r="F430" s="13"/>
      <c r="G430" s="13"/>
      <c r="H430" s="14"/>
      <c r="I430" s="11"/>
      <c r="J430" s="129" t="str">
        <f t="shared" si="51"/>
        <v/>
      </c>
      <c r="K430" s="14"/>
      <c r="L430" s="11"/>
      <c r="M430" s="15"/>
      <c r="N430" s="15"/>
      <c r="R430" s="129" t="str">
        <f t="shared" si="52"/>
        <v/>
      </c>
    </row>
    <row r="431" spans="1:18" ht="18.75" customHeight="1" x14ac:dyDescent="0.35">
      <c r="A431" s="11"/>
      <c r="B431" s="11"/>
      <c r="C431" s="11"/>
      <c r="D431" s="11"/>
      <c r="E431" s="12"/>
      <c r="F431" s="13"/>
      <c r="G431" s="13"/>
      <c r="H431" s="14"/>
      <c r="I431" s="11"/>
      <c r="J431" s="129" t="str">
        <f t="shared" si="51"/>
        <v/>
      </c>
      <c r="K431" s="14"/>
      <c r="L431" s="11"/>
      <c r="M431" s="15"/>
      <c r="N431" s="15"/>
      <c r="R431" s="129" t="str">
        <f t="shared" si="52"/>
        <v/>
      </c>
    </row>
    <row r="432" spans="1:18" ht="18.75" customHeight="1" x14ac:dyDescent="0.35">
      <c r="A432" s="11"/>
      <c r="B432" s="11"/>
      <c r="C432" s="11"/>
      <c r="D432" s="11"/>
      <c r="E432" s="12"/>
      <c r="F432" s="13"/>
      <c r="G432" s="13"/>
      <c r="H432" s="14"/>
      <c r="I432" s="11"/>
      <c r="J432" s="129" t="str">
        <f t="shared" si="51"/>
        <v/>
      </c>
      <c r="K432" s="14"/>
      <c r="L432" s="11"/>
      <c r="M432" s="15"/>
      <c r="N432" s="15"/>
      <c r="R432" s="129" t="str">
        <f t="shared" si="52"/>
        <v/>
      </c>
    </row>
    <row r="433" spans="1:18" ht="18.75" customHeight="1" x14ac:dyDescent="0.35">
      <c r="A433" s="11"/>
      <c r="B433" s="11"/>
      <c r="C433" s="11"/>
      <c r="D433" s="11"/>
      <c r="E433" s="12"/>
      <c r="F433" s="13"/>
      <c r="G433" s="13"/>
      <c r="H433" s="14"/>
      <c r="I433" s="11"/>
      <c r="J433" s="129" t="str">
        <f t="shared" si="51"/>
        <v/>
      </c>
      <c r="K433" s="14"/>
      <c r="L433" s="11"/>
      <c r="M433" s="15"/>
      <c r="N433" s="15"/>
      <c r="R433" s="129" t="str">
        <f t="shared" si="52"/>
        <v/>
      </c>
    </row>
    <row r="434" spans="1:18" ht="18.75" customHeight="1" x14ac:dyDescent="0.35">
      <c r="A434" s="11"/>
      <c r="B434" s="11"/>
      <c r="C434" s="11"/>
      <c r="D434" s="11"/>
      <c r="E434" s="12"/>
      <c r="F434" s="13"/>
      <c r="G434" s="13"/>
      <c r="H434" s="14"/>
      <c r="I434" s="11"/>
      <c r="J434" s="129" t="str">
        <f t="shared" si="51"/>
        <v/>
      </c>
      <c r="K434" s="14"/>
      <c r="L434" s="11"/>
      <c r="M434" s="15"/>
      <c r="N434" s="15"/>
      <c r="R434" s="129" t="str">
        <f t="shared" si="52"/>
        <v/>
      </c>
    </row>
    <row r="435" spans="1:18" ht="18.75" customHeight="1" x14ac:dyDescent="0.35">
      <c r="A435" s="11"/>
      <c r="B435" s="11"/>
      <c r="C435" s="11"/>
      <c r="D435" s="11"/>
      <c r="E435" s="12"/>
      <c r="F435" s="13"/>
      <c r="G435" s="13"/>
      <c r="H435" s="14"/>
      <c r="I435" s="11"/>
      <c r="J435" s="129" t="str">
        <f t="shared" si="51"/>
        <v/>
      </c>
      <c r="K435" s="14"/>
      <c r="L435" s="11"/>
      <c r="M435" s="15"/>
      <c r="N435" s="15"/>
      <c r="R435" s="129" t="str">
        <f t="shared" si="52"/>
        <v/>
      </c>
    </row>
    <row r="436" spans="1:18" ht="18.75" customHeight="1" x14ac:dyDescent="0.35">
      <c r="A436" s="11"/>
      <c r="B436" s="11"/>
      <c r="C436" s="11"/>
      <c r="D436" s="11"/>
      <c r="E436" s="12"/>
      <c r="F436" s="13"/>
      <c r="G436" s="13"/>
      <c r="H436" s="14"/>
      <c r="I436" s="11"/>
      <c r="J436" s="129" t="str">
        <f t="shared" si="51"/>
        <v/>
      </c>
      <c r="K436" s="14"/>
      <c r="L436" s="11"/>
      <c r="M436" s="15"/>
      <c r="N436" s="15"/>
      <c r="R436" s="129" t="str">
        <f t="shared" si="52"/>
        <v/>
      </c>
    </row>
    <row r="437" spans="1:18" ht="18.75" customHeight="1" x14ac:dyDescent="0.35">
      <c r="A437" s="11"/>
      <c r="B437" s="11"/>
      <c r="C437" s="11"/>
      <c r="D437" s="11"/>
      <c r="E437" s="12"/>
      <c r="F437" s="13"/>
      <c r="G437" s="13"/>
      <c r="H437" s="14"/>
      <c r="I437" s="11"/>
      <c r="J437" s="129" t="str">
        <f t="shared" si="51"/>
        <v/>
      </c>
      <c r="K437" s="14"/>
      <c r="L437" s="11"/>
      <c r="M437" s="15"/>
      <c r="N437" s="15"/>
      <c r="R437" s="129" t="str">
        <f t="shared" si="52"/>
        <v/>
      </c>
    </row>
    <row r="438" spans="1:18" ht="18.75" customHeight="1" x14ac:dyDescent="0.35">
      <c r="A438" s="11"/>
      <c r="B438" s="11"/>
      <c r="C438" s="11"/>
      <c r="D438" s="11"/>
      <c r="E438" s="12"/>
      <c r="F438" s="13"/>
      <c r="G438" s="13"/>
      <c r="H438" s="14"/>
      <c r="I438" s="11"/>
      <c r="J438" s="129" t="str">
        <f t="shared" si="51"/>
        <v/>
      </c>
      <c r="K438" s="14"/>
      <c r="L438" s="11"/>
      <c r="M438" s="15"/>
      <c r="N438" s="15"/>
      <c r="R438" s="129" t="str">
        <f t="shared" si="52"/>
        <v/>
      </c>
    </row>
    <row r="439" spans="1:18" ht="18.75" customHeight="1" x14ac:dyDescent="0.35">
      <c r="A439" s="11"/>
      <c r="B439" s="11"/>
      <c r="C439" s="11"/>
      <c r="D439" s="11"/>
      <c r="E439" s="12"/>
      <c r="F439" s="13"/>
      <c r="G439" s="13"/>
      <c r="H439" s="14"/>
      <c r="I439" s="11"/>
      <c r="J439" s="129" t="str">
        <f t="shared" si="51"/>
        <v/>
      </c>
      <c r="K439" s="14"/>
      <c r="L439" s="11"/>
      <c r="M439" s="15"/>
      <c r="N439" s="15"/>
      <c r="R439" s="129" t="str">
        <f t="shared" si="52"/>
        <v/>
      </c>
    </row>
    <row r="440" spans="1:18" ht="18.75" customHeight="1" x14ac:dyDescent="0.35">
      <c r="A440" s="11"/>
      <c r="B440" s="11"/>
      <c r="C440" s="11"/>
      <c r="D440" s="11"/>
      <c r="E440" s="12"/>
      <c r="F440" s="13"/>
      <c r="G440" s="13"/>
      <c r="H440" s="14"/>
      <c r="I440" s="11"/>
      <c r="J440" s="129" t="str">
        <f t="shared" si="51"/>
        <v/>
      </c>
      <c r="K440" s="14"/>
      <c r="L440" s="11"/>
      <c r="M440" s="15"/>
      <c r="N440" s="15"/>
      <c r="R440" s="129" t="str">
        <f t="shared" si="52"/>
        <v/>
      </c>
    </row>
    <row r="441" spans="1:18" ht="18.75" customHeight="1" x14ac:dyDescent="0.35">
      <c r="A441" s="11"/>
      <c r="B441" s="11"/>
      <c r="C441" s="11"/>
      <c r="D441" s="11"/>
      <c r="E441" s="12"/>
      <c r="F441" s="13"/>
      <c r="G441" s="13"/>
      <c r="H441" s="14"/>
      <c r="I441" s="11"/>
      <c r="J441" s="129" t="str">
        <f t="shared" si="51"/>
        <v/>
      </c>
      <c r="K441" s="14"/>
      <c r="L441" s="11"/>
      <c r="M441" s="15"/>
      <c r="N441" s="15"/>
      <c r="R441" s="129" t="str">
        <f t="shared" si="52"/>
        <v/>
      </c>
    </row>
    <row r="442" spans="1:18" ht="18.75" customHeight="1" x14ac:dyDescent="0.35">
      <c r="A442" s="11"/>
      <c r="B442" s="11"/>
      <c r="C442" s="11"/>
      <c r="D442" s="11"/>
      <c r="E442" s="12"/>
      <c r="F442" s="13"/>
      <c r="G442" s="13"/>
      <c r="H442" s="14"/>
      <c r="I442" s="11"/>
      <c r="J442" s="129" t="str">
        <f t="shared" si="51"/>
        <v/>
      </c>
      <c r="K442" s="14"/>
      <c r="L442" s="11"/>
      <c r="M442" s="15"/>
      <c r="N442" s="15"/>
      <c r="R442" s="129" t="str">
        <f t="shared" si="52"/>
        <v/>
      </c>
    </row>
    <row r="443" spans="1:18" ht="18.75" customHeight="1" x14ac:dyDescent="0.35">
      <c r="A443" s="57"/>
      <c r="B443" s="57"/>
      <c r="C443" s="57"/>
      <c r="D443" s="57"/>
      <c r="E443" s="59"/>
      <c r="F443" s="60"/>
      <c r="G443" s="60"/>
      <c r="H443" s="56"/>
      <c r="I443" s="57"/>
      <c r="J443" s="129" t="str">
        <f t="shared" si="51"/>
        <v/>
      </c>
      <c r="K443" s="56"/>
      <c r="L443" s="57"/>
      <c r="M443" s="61"/>
      <c r="N443" s="61"/>
      <c r="R443" s="129" t="str">
        <f t="shared" si="52"/>
        <v/>
      </c>
    </row>
    <row r="444" spans="1:18" ht="18.75" customHeight="1" x14ac:dyDescent="0.35"/>
    <row r="445" spans="1:18" ht="18.75" customHeight="1" x14ac:dyDescent="0.35"/>
    <row r="446" spans="1:18" ht="18.75" customHeight="1" x14ac:dyDescent="0.35"/>
    <row r="447" spans="1:18" ht="18.75" customHeight="1" x14ac:dyDescent="0.35"/>
    <row r="448" spans="1:18" ht="18.75" customHeight="1" x14ac:dyDescent="0.35"/>
    <row r="449" ht="18.75" customHeight="1" x14ac:dyDescent="0.35"/>
    <row r="450" ht="18.75" customHeight="1" x14ac:dyDescent="0.35"/>
    <row r="451" ht="18.75" customHeight="1" x14ac:dyDescent="0.35"/>
    <row r="452" ht="18.75" customHeight="1" x14ac:dyDescent="0.35"/>
    <row r="453" ht="18.75" customHeight="1" x14ac:dyDescent="0.35"/>
    <row r="454" ht="18.75" customHeight="1" x14ac:dyDescent="0.35"/>
    <row r="455" ht="18.75" customHeight="1" x14ac:dyDescent="0.35"/>
    <row r="456" ht="18.75" customHeight="1" x14ac:dyDescent="0.35"/>
    <row r="457" ht="18.75" customHeight="1" x14ac:dyDescent="0.35"/>
    <row r="458" ht="18.75" customHeight="1" x14ac:dyDescent="0.35"/>
    <row r="459" ht="18.75" customHeight="1" x14ac:dyDescent="0.35"/>
    <row r="460" ht="18.75" customHeight="1" x14ac:dyDescent="0.35"/>
    <row r="461" ht="18.75" customHeight="1" x14ac:dyDescent="0.35"/>
    <row r="462" ht="18.75" customHeight="1" x14ac:dyDescent="0.35"/>
    <row r="463" ht="18.75" customHeight="1" x14ac:dyDescent="0.35"/>
    <row r="464" ht="18.75" customHeight="1" x14ac:dyDescent="0.35"/>
    <row r="465" ht="18.75" customHeight="1" x14ac:dyDescent="0.35"/>
    <row r="466" ht="18.75" customHeight="1" x14ac:dyDescent="0.35"/>
    <row r="467" ht="18.75" customHeight="1" x14ac:dyDescent="0.35"/>
    <row r="468" ht="18.75" customHeight="1" x14ac:dyDescent="0.35"/>
    <row r="469" ht="18.75" customHeight="1" x14ac:dyDescent="0.35"/>
    <row r="470" ht="18.75" customHeight="1" x14ac:dyDescent="0.35"/>
    <row r="471" ht="18.75" customHeight="1" x14ac:dyDescent="0.35"/>
    <row r="472" ht="18.75" customHeight="1" x14ac:dyDescent="0.35"/>
    <row r="473" ht="18.75" customHeight="1" x14ac:dyDescent="0.35"/>
    <row r="474" ht="18.75" customHeight="1" x14ac:dyDescent="0.35"/>
    <row r="475" ht="18.75" customHeight="1" x14ac:dyDescent="0.35"/>
    <row r="476" ht="18.75" customHeight="1" x14ac:dyDescent="0.35"/>
    <row r="477" ht="18.75" customHeight="1" x14ac:dyDescent="0.35"/>
    <row r="478" ht="18.75" customHeight="1" x14ac:dyDescent="0.35"/>
    <row r="479" ht="18.75" customHeight="1" x14ac:dyDescent="0.35"/>
    <row r="480" ht="18.75" customHeight="1" x14ac:dyDescent="0.35"/>
    <row r="481" ht="18.75" customHeight="1" x14ac:dyDescent="0.35"/>
    <row r="482" ht="18.75" customHeight="1" x14ac:dyDescent="0.35"/>
    <row r="483" ht="18.75" customHeight="1" x14ac:dyDescent="0.35"/>
    <row r="484" ht="18.75" customHeight="1" x14ac:dyDescent="0.35"/>
    <row r="485" ht="18.75" customHeight="1" x14ac:dyDescent="0.35"/>
  </sheetData>
  <mergeCells count="18">
    <mergeCell ref="A423:N423"/>
    <mergeCell ref="C2:D2"/>
    <mergeCell ref="A6:N6"/>
    <mergeCell ref="A381:N381"/>
    <mergeCell ref="A402:N402"/>
    <mergeCell ref="A86:N86"/>
    <mergeCell ref="A107:N107"/>
    <mergeCell ref="A128:N128"/>
    <mergeCell ref="A169:N169"/>
    <mergeCell ref="A210:N210"/>
    <mergeCell ref="A231:N231"/>
    <mergeCell ref="A273:N273"/>
    <mergeCell ref="A294:N294"/>
    <mergeCell ref="A315:N315"/>
    <mergeCell ref="A318:N318"/>
    <mergeCell ref="A339:N339"/>
    <mergeCell ref="A360:N360"/>
    <mergeCell ref="A252:N252"/>
  </mergeCells>
  <conditionalFormatting sqref="M403:N422 P403:P422">
    <cfRule type="expression" dxfId="18" priority="6198">
      <formula>M403=1</formula>
    </cfRule>
  </conditionalFormatting>
  <conditionalFormatting sqref="M424:N443 P424:P443">
    <cfRule type="expression" dxfId="17" priority="6197">
      <formula>M424=1</formula>
    </cfRule>
  </conditionalFormatting>
  <conditionalFormatting sqref="M7:O85">
    <cfRule type="expression" dxfId="16" priority="1">
      <formula>M7=1</formula>
    </cfRule>
  </conditionalFormatting>
  <conditionalFormatting sqref="M87:O106 M108:O127 M129:O168 M170:O209 M211:O230 M232:N233 M234:O251 M253:O272 M274:O293 M295:O314 M316:O317 M319:O338 M340:O359 M361:O380 M382:N401 R402 R423">
    <cfRule type="expression" dxfId="15" priority="6307">
      <formula>M87=1</formula>
    </cfRule>
  </conditionalFormatting>
  <conditionalFormatting sqref="N108:N111">
    <cfRule type="expression" dxfId="14" priority="789">
      <formula>N108=1</formula>
    </cfRule>
  </conditionalFormatting>
  <conditionalFormatting sqref="N211:N216">
    <cfRule type="expression" dxfId="13" priority="783">
      <formula>N211=1</formula>
    </cfRule>
  </conditionalFormatting>
  <conditionalFormatting sqref="N232:N237">
    <cfRule type="expression" dxfId="12" priority="780">
      <formula>N232=1</formula>
    </cfRule>
  </conditionalFormatting>
  <conditionalFormatting sqref="N253:N256">
    <cfRule type="expression" dxfId="11" priority="777">
      <formula>N253=1</formula>
    </cfRule>
  </conditionalFormatting>
  <conditionalFormatting sqref="N274:N277">
    <cfRule type="expression" dxfId="10" priority="774">
      <formula>N274=1</formula>
    </cfRule>
  </conditionalFormatting>
  <conditionalFormatting sqref="N295:N296">
    <cfRule type="expression" dxfId="9" priority="771">
      <formula>N295=1</formula>
    </cfRule>
  </conditionalFormatting>
  <conditionalFormatting sqref="N340:N346">
    <cfRule type="expression" dxfId="8" priority="768">
      <formula>N340=1</formula>
    </cfRule>
  </conditionalFormatting>
  <conditionalFormatting sqref="N361:N362">
    <cfRule type="expression" dxfId="7" priority="765">
      <formula>N361=1</formula>
    </cfRule>
  </conditionalFormatting>
  <conditionalFormatting sqref="N382:N383">
    <cfRule type="expression" dxfId="6" priority="762">
      <formula>N382=1</formula>
    </cfRule>
  </conditionalFormatting>
  <conditionalFormatting sqref="O382:O443">
    <cfRule type="expression" dxfId="5" priority="761">
      <formula>O382=1</formula>
    </cfRule>
  </conditionalFormatting>
  <conditionalFormatting sqref="Q402:Q443">
    <cfRule type="expression" dxfId="4" priority="759">
      <formula>Q402=1</formula>
    </cfRule>
  </conditionalFormatting>
  <dataValidations count="18">
    <dataValidation type="list" allowBlank="1" showInputMessage="1" showErrorMessage="1" sqref="B274:B293 B424:B443 B403:B422 B382:B401 B361:B380 B129:B168 B108:B127 B87:B106 B170:B209 B340:B359 B316:B317 B211:B230 B253:B272 B232:B251 B295:B314 B25 B27:B85 B12:B23" xr:uid="{00000000-0002-0000-0600-000000000000}">
      <formula1>$Y$5:$Y$8</formula1>
    </dataValidation>
    <dataValidation type="list" allowBlank="1" showInputMessage="1" showErrorMessage="1" sqref="C319:C338 C424:C443 C403:C422 C382:C401 C361:C380 C129:C168 C274:C293 C87:C106 C340:C359 C316:C317 C295:C314 C108:C127 C211:C230 C232:C251 C253:C272 C170:C209 C25 C27:C85 C12:C23" xr:uid="{00000000-0002-0000-0600-000001000000}">
      <formula1>$Z$5:$Z$8</formula1>
    </dataValidation>
    <dataValidation type="list" allowBlank="1" showInputMessage="1" showErrorMessage="1" sqref="I319:I338 I424:I443 I403:I422 I382:I401 I361:I380 I274:I293 I170:I209 I108:I127 I211:I230 I87:I106 I295:I314 I316:I317 I340:I359 I232:I251 I253:I272 I129:I168 I25 I27:I85 I12:I23" xr:uid="{00000000-0002-0000-0600-000002000000}">
      <formula1>$AC$5:$AC$6</formula1>
    </dataValidation>
    <dataValidation type="list" allowBlank="1" showInputMessage="1" showErrorMessage="1" sqref="J170:J209 J403:J422 J382:J401 J361:J380 J340:J359 J108:J127 J253:J272 J87:J106 J316:J317 J424:J443 J274:J293 J295:J314 J319:J338 J211:J230 J232:J251 J129:J168 J7:J85" xr:uid="{00000000-0002-0000-0600-000003000000}">
      <formula1>$AD$5:$AD$6</formula1>
    </dataValidation>
    <dataValidation type="list" allowBlank="1" showInputMessage="1" showErrorMessage="1" sqref="L319:L338 L424:L443 L403:L422 L382:L401 L361:L380 L129:L168 L274:L293 L108:L127 L87:L106 L316:L317 L340:L359 L170:L209 L211:L230 L232:L251 L253:L272 L295:L314 L25 L27:L85 L12:L23" xr:uid="{00000000-0002-0000-0600-000004000000}">
      <formula1>$AE$5:$AE$6</formula1>
    </dataValidation>
    <dataValidation type="list" allowBlank="1" showInputMessage="1" showErrorMessage="1" sqref="E319:E338 E274:E293 E316:E317 E295:E314 E253:E272 E232:E251 E211:E230 E108:E127 E129:E168 E170:E209 E87:E106 E25 E27:E85 E12:E23" xr:uid="{00000000-0002-0000-0600-000005000000}">
      <formula1>$AB$5:$AB$23</formula1>
    </dataValidation>
    <dataValidation type="list" allowBlank="1" showInputMessage="1" showErrorMessage="1" sqref="D253:D272" xr:uid="{00000000-0002-0000-0600-000006000000}">
      <formula1>"ALL,PUR,REM"</formula1>
    </dataValidation>
    <dataValidation type="list" allowBlank="1" showInputMessage="1" showErrorMessage="1" sqref="B319:B338" xr:uid="{00000000-0002-0000-0600-000007000000}">
      <formula1>"2.5,3.5,5.5"</formula1>
    </dataValidation>
    <dataValidation type="list" allowBlank="1" showInputMessage="1" showErrorMessage="1" sqref="E340:E359" xr:uid="{00000000-0002-0000-0600-000008000000}">
      <formula1>"55%, 60%, 65%"</formula1>
    </dataValidation>
    <dataValidation type="list" allowBlank="1" showInputMessage="1" showErrorMessage="1" sqref="E361:E380 E424:E443 E403:E422 E382:E401" xr:uid="{00000000-0002-0000-0600-000009000000}">
      <formula1>"60%, 65%, 70%, 75%"</formula1>
    </dataValidation>
    <dataValidation type="list" allowBlank="1" showInputMessage="1" showErrorMessage="1" sqref="D274:D293 D424:D443 D403:D422 D382:D401 D361:D380 D129:D168 D319:D338 D316:D317 D295:D314 D232:D251 D211:D230 D108:D127 D340:D359 D87:D106 D25 D27:D85 D170:D209 D12:D23" xr:uid="{00000000-0002-0000-0600-00000A000000}">
      <formula1>$AA$5:$AA$9</formula1>
    </dataValidation>
    <dataValidation type="list" errorStyle="information" allowBlank="1" showInputMessage="1" showErrorMessage="1" errorTitle="User Information" error="You need to select a valid segment, or leave blank to return all segments." promptTitle="Leave Blank for All     " prompt="User Information" sqref="C2:D2" xr:uid="{00000000-0002-0000-0600-00000C000000}">
      <formula1>$W$5:$W$23</formula1>
    </dataValidation>
    <dataValidation type="list" allowBlank="1" showInputMessage="1" showErrorMessage="1" sqref="B9:B11 B7" xr:uid="{A139564C-57F4-457F-BA59-102248F425F5}">
      <formula1>$V$5:$V$8</formula1>
    </dataValidation>
    <dataValidation type="list" allowBlank="1" showInputMessage="1" showErrorMessage="1" sqref="C9:C11 C7" xr:uid="{B02DB246-BA3B-41BC-9EDA-A937694754A6}">
      <formula1>$W$5:$W$8</formula1>
    </dataValidation>
    <dataValidation type="list" allowBlank="1" showInputMessage="1" showErrorMessage="1" sqref="I9:I11 I7" xr:uid="{D0E92430-D655-423C-8CA5-97D81E7CA373}">
      <formula1>$Z$5:$Z$6</formula1>
    </dataValidation>
    <dataValidation type="list" allowBlank="1" showInputMessage="1" showErrorMessage="1" sqref="L9:L11 L7" xr:uid="{640CD8C4-82D4-424B-ADE5-322E84FE4AAE}">
      <formula1>$AB$5:$AB$6</formula1>
    </dataValidation>
    <dataValidation type="list" allowBlank="1" showInputMessage="1" showErrorMessage="1" sqref="E7 E9:E11" xr:uid="{137E778C-BD88-4375-8A0D-290C6D0BC8A6}">
      <formula1>$Y$5:$Y$23</formula1>
    </dataValidation>
    <dataValidation type="list" allowBlank="1" showInputMessage="1" showErrorMessage="1" sqref="D9:D11 D7" xr:uid="{02408833-1721-4CC2-9FFD-AD3C4540F5E0}">
      <formula1>$X$5:$X$9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autoPageBreaks="0"/>
  </sheetPr>
  <dimension ref="A1:CU400"/>
  <sheetViews>
    <sheetView zoomScale="70" zoomScaleNormal="70" workbookViewId="0">
      <pane xSplit="3" ySplit="1" topLeftCell="D2" activePane="bottomRight" state="frozen"/>
      <selection pane="topRight" activeCell="B1" sqref="B1"/>
      <selection pane="bottomLeft" activeCell="A2" sqref="A2"/>
      <selection pane="bottomRight"/>
    </sheetView>
  </sheetViews>
  <sheetFormatPr defaultColWidth="8.54296875" defaultRowHeight="14.5" x14ac:dyDescent="0.35"/>
  <cols>
    <col min="1" max="1" width="13.1796875" style="136" customWidth="1"/>
    <col min="2" max="2" width="65.54296875" style="136" customWidth="1"/>
    <col min="3" max="3" width="16.1796875" style="136" bestFit="1" customWidth="1"/>
    <col min="4" max="4" width="12.54296875" style="136" customWidth="1"/>
    <col min="5" max="5" width="15.453125" style="136" bestFit="1" customWidth="1"/>
    <col min="6" max="6" width="14.54296875" style="136" customWidth="1"/>
    <col min="7" max="7" width="17.1796875" style="136" customWidth="1"/>
    <col min="8" max="8" width="10.453125" style="154" bestFit="1" customWidth="1"/>
    <col min="9" max="9" width="11.54296875" style="136" customWidth="1"/>
    <col min="10" max="10" width="9.453125" style="136" customWidth="1"/>
    <col min="11" max="11" width="11.453125" style="136" customWidth="1"/>
    <col min="12" max="12" width="9.453125" style="136" customWidth="1"/>
    <col min="13" max="13" width="10.453125" style="136" customWidth="1"/>
    <col min="14" max="23" width="9.453125" style="136" customWidth="1"/>
    <col min="24" max="24" width="11.453125" style="155" customWidth="1"/>
    <col min="25" max="26" width="14.54296875" style="136" customWidth="1"/>
    <col min="27" max="27" width="12.54296875" style="136" customWidth="1"/>
    <col min="28" max="28" width="9.453125" style="136" customWidth="1"/>
    <col min="29" max="29" width="10.81640625" style="136" bestFit="1" customWidth="1"/>
    <col min="30" max="30" width="24" style="156" customWidth="1"/>
    <col min="31" max="40" width="8.54296875" style="136" customWidth="1"/>
    <col min="41" max="41" width="18" style="136" customWidth="1"/>
    <col min="42" max="42" width="77.54296875" style="136" customWidth="1"/>
    <col min="43" max="43" width="9.453125" style="136" customWidth="1"/>
    <col min="44" max="45" width="8.54296875" style="136" customWidth="1"/>
    <col min="46" max="47" width="15.453125" style="136" customWidth="1"/>
    <col min="48" max="48" width="9.453125" style="136" customWidth="1"/>
    <col min="49" max="49" width="9.453125" style="155" bestFit="1" customWidth="1"/>
    <col min="50" max="50" width="16.453125" style="136" bestFit="1" customWidth="1"/>
    <col min="51" max="51" width="8.54296875" style="136"/>
    <col min="52" max="52" width="15" style="136" bestFit="1" customWidth="1"/>
    <col min="53" max="53" width="14.54296875" style="136" customWidth="1"/>
    <col min="54" max="54" width="32.54296875" style="136" bestFit="1" customWidth="1"/>
    <col min="55" max="65" width="14.54296875" style="136" customWidth="1"/>
    <col min="66" max="66" width="14.54296875" style="220" customWidth="1"/>
    <col min="67" max="68" width="14.54296875" style="136" customWidth="1"/>
    <col min="69" max="69" width="14.54296875" style="220" customWidth="1"/>
    <col min="70" max="73" width="8.54296875" style="136"/>
    <col min="74" max="74" width="8.54296875" style="220"/>
    <col min="75" max="92" width="8.54296875" style="136"/>
    <col min="93" max="93" width="11.81640625" style="136" bestFit="1" customWidth="1"/>
    <col min="94" max="95" width="8.54296875" style="136"/>
    <col min="96" max="96" width="8.54296875" style="136" customWidth="1"/>
    <col min="97" max="16384" width="8.54296875" style="136"/>
  </cols>
  <sheetData>
    <row r="1" spans="1:99" ht="52" x14ac:dyDescent="0.35">
      <c r="A1" s="139" t="s">
        <v>203</v>
      </c>
      <c r="B1" s="139" t="s">
        <v>148</v>
      </c>
      <c r="C1" s="139" t="s">
        <v>149</v>
      </c>
      <c r="D1" s="139" t="s">
        <v>150</v>
      </c>
      <c r="E1" s="139" t="s">
        <v>260</v>
      </c>
      <c r="F1" s="139" t="s">
        <v>204</v>
      </c>
      <c r="G1" s="139" t="s">
        <v>151</v>
      </c>
      <c r="H1" s="139" t="s">
        <v>152</v>
      </c>
      <c r="I1" s="141" t="s">
        <v>217</v>
      </c>
      <c r="J1" s="139" t="s">
        <v>153</v>
      </c>
      <c r="K1" s="139" t="s">
        <v>154</v>
      </c>
      <c r="L1" s="141" t="s">
        <v>218</v>
      </c>
      <c r="M1" s="139" t="s">
        <v>155</v>
      </c>
      <c r="N1" s="139" t="s">
        <v>156</v>
      </c>
      <c r="O1" s="139" t="s">
        <v>219</v>
      </c>
      <c r="P1" s="139" t="s">
        <v>157</v>
      </c>
      <c r="Q1" s="139" t="s">
        <v>158</v>
      </c>
      <c r="R1" s="139" t="s">
        <v>220</v>
      </c>
      <c r="S1" s="139" t="s">
        <v>159</v>
      </c>
      <c r="T1" s="139" t="s">
        <v>160</v>
      </c>
      <c r="U1" s="139" t="s">
        <v>221</v>
      </c>
      <c r="V1" s="139" t="s">
        <v>161</v>
      </c>
      <c r="W1" s="139" t="s">
        <v>162</v>
      </c>
      <c r="X1" s="139" t="s">
        <v>222</v>
      </c>
      <c r="Y1" s="139" t="s">
        <v>163</v>
      </c>
      <c r="Z1" s="139" t="s">
        <v>164</v>
      </c>
      <c r="AA1" s="139" t="s">
        <v>223</v>
      </c>
      <c r="AB1" s="139" t="s">
        <v>165</v>
      </c>
      <c r="AC1" s="139" t="s">
        <v>166</v>
      </c>
      <c r="AD1" s="139" t="s">
        <v>224</v>
      </c>
      <c r="AE1" s="139" t="s">
        <v>225</v>
      </c>
      <c r="AF1" s="139" t="s">
        <v>226</v>
      </c>
      <c r="AG1" s="139" t="s">
        <v>227</v>
      </c>
      <c r="AH1" s="139" t="s">
        <v>228</v>
      </c>
      <c r="AI1" s="139" t="s">
        <v>229</v>
      </c>
      <c r="AJ1" s="139" t="s">
        <v>230</v>
      </c>
      <c r="AK1" s="139" t="s">
        <v>167</v>
      </c>
      <c r="AL1" s="139" t="s">
        <v>168</v>
      </c>
      <c r="AM1" s="139" t="s">
        <v>205</v>
      </c>
      <c r="AN1" s="139" t="s">
        <v>169</v>
      </c>
      <c r="AO1" s="139" t="s">
        <v>170</v>
      </c>
      <c r="AP1" s="140" t="s">
        <v>171</v>
      </c>
      <c r="AQ1" s="139" t="s">
        <v>127</v>
      </c>
      <c r="AR1" s="139" t="s">
        <v>128</v>
      </c>
      <c r="AS1" s="139" t="s">
        <v>129</v>
      </c>
      <c r="AT1" s="139" t="s">
        <v>130</v>
      </c>
      <c r="AU1" s="139" t="s">
        <v>131</v>
      </c>
      <c r="AV1" s="139" t="s">
        <v>132</v>
      </c>
      <c r="AW1" s="139" t="s">
        <v>133</v>
      </c>
      <c r="AX1" s="139" t="s">
        <v>134</v>
      </c>
      <c r="AY1" s="139" t="s">
        <v>135</v>
      </c>
      <c r="AZ1" s="139" t="s">
        <v>136</v>
      </c>
      <c r="BA1" s="139" t="s">
        <v>172</v>
      </c>
      <c r="BB1" s="139" t="s">
        <v>173</v>
      </c>
      <c r="BC1" s="139" t="s">
        <v>174</v>
      </c>
      <c r="BD1" s="139" t="s">
        <v>175</v>
      </c>
      <c r="BE1" s="139" t="s">
        <v>176</v>
      </c>
      <c r="BF1" s="139" t="s">
        <v>231</v>
      </c>
      <c r="BG1" s="139" t="s">
        <v>232</v>
      </c>
      <c r="BH1" s="139" t="s">
        <v>177</v>
      </c>
      <c r="BI1" s="139" t="s">
        <v>178</v>
      </c>
      <c r="BJ1" s="139" t="s">
        <v>233</v>
      </c>
      <c r="BK1" s="139" t="s">
        <v>179</v>
      </c>
      <c r="BL1" s="139" t="s">
        <v>234</v>
      </c>
      <c r="BM1" s="139" t="s">
        <v>180</v>
      </c>
      <c r="BN1" s="142" t="s">
        <v>181</v>
      </c>
      <c r="BO1" s="139" t="s">
        <v>235</v>
      </c>
      <c r="BP1" s="139" t="s">
        <v>182</v>
      </c>
      <c r="BQ1" s="142" t="s">
        <v>183</v>
      </c>
      <c r="BR1" s="139" t="s">
        <v>184</v>
      </c>
      <c r="BS1" s="139" t="s">
        <v>185</v>
      </c>
      <c r="BT1" s="139" t="s">
        <v>186</v>
      </c>
      <c r="BU1" s="139" t="s">
        <v>187</v>
      </c>
      <c r="BV1" s="142" t="s">
        <v>236</v>
      </c>
      <c r="BW1" s="142" t="s">
        <v>237</v>
      </c>
      <c r="BX1" s="142" t="s">
        <v>238</v>
      </c>
      <c r="BY1" s="142" t="s">
        <v>188</v>
      </c>
      <c r="BZ1" s="142" t="s">
        <v>239</v>
      </c>
      <c r="CA1" s="142" t="s">
        <v>240</v>
      </c>
      <c r="CB1" s="142" t="s">
        <v>241</v>
      </c>
      <c r="CC1" s="142" t="s">
        <v>242</v>
      </c>
      <c r="CD1" s="142" t="s">
        <v>243</v>
      </c>
      <c r="CE1" s="142" t="s">
        <v>244</v>
      </c>
      <c r="CF1" s="142" t="s">
        <v>245</v>
      </c>
      <c r="CG1" s="142" t="s">
        <v>246</v>
      </c>
      <c r="CH1" s="142" t="s">
        <v>247</v>
      </c>
      <c r="CI1" s="142" t="s">
        <v>248</v>
      </c>
      <c r="CJ1" s="142" t="s">
        <v>249</v>
      </c>
      <c r="CK1" s="142" t="s">
        <v>250</v>
      </c>
      <c r="CL1" s="143" t="s">
        <v>251</v>
      </c>
      <c r="CM1" s="143" t="s">
        <v>252</v>
      </c>
      <c r="CN1" s="143" t="s">
        <v>253</v>
      </c>
      <c r="CO1" s="144" t="s">
        <v>254</v>
      </c>
      <c r="CP1" s="144" t="s">
        <v>255</v>
      </c>
      <c r="CQ1" s="144" t="s">
        <v>256</v>
      </c>
      <c r="CR1" s="144" t="s">
        <v>257</v>
      </c>
      <c r="CS1" s="144" t="s">
        <v>258</v>
      </c>
      <c r="CT1" s="144" t="s">
        <v>189</v>
      </c>
      <c r="CU1" s="144" t="s">
        <v>259</v>
      </c>
    </row>
    <row r="2" spans="1:99" ht="16.399999999999999" customHeight="1" x14ac:dyDescent="0.35">
      <c r="A2" s="145" t="str">
        <f>IF(B2="","","Leeds Building Society")</f>
        <v>Leeds Building Society</v>
      </c>
      <c r="B2" s="145" t="str">
        <f>_xlfn.IFNA(_xlfn.CONCAT(INDEX(Producer!$P:$P,MATCH($D2,Producer!$A:$A,0))," ",IF(INDEX(Producer!$N:$N,MATCH($D2,Producer!$A:$A,0))="Yes","Green ",""),IF(AND(INDEX(Producer!$L:$L,MATCH($D2,Producer!$A:$A,0))="No",INDEX(Producer!$C:$C,MATCH($D2,Producer!$A:$A,0))="Fixed"),"Flexit ",""),INDEX(Producer!$B:$B,MATCH($D2,Producer!$A:$A,0))," Year ",INDEX(Producer!$C:$C,MATCH($D2,Producer!$A:$A,0))," ",VALUE(INDEX(Producer!$E:$E,MATCH($D2,Producer!$A:$A,0)))*100,"% LTV",IF(INDEX(Producer!$N:$N,MATCH($D2,Producer!$A:$A,0))="Yes"," (EPC A-C)","")," - ",IF(INDEX(Producer!$D:$D,MATCH($D2,Producer!$A:$A,0))="DLY","Daily","Annual")),"")</f>
        <v>Residential 1 Year Fixed 150% LTV - Daily</v>
      </c>
      <c r="C2" s="146" t="str">
        <f>_xlfn.IFNA(INDEX(Producer!$Q:$Q,MATCH($D2,Producer!$A:$A,0)),"")</f>
        <v>Residential</v>
      </c>
      <c r="D2" s="146">
        <f>IFERROR(VALUE(LEFT(Producer!$R$2,5)),"")</f>
        <v>54176</v>
      </c>
      <c r="E2" s="146" t="str">
        <f>IF(D2="","",IF(IFERROR(FIND("Tracker",B2),-1)&gt;0,"Tracker",IF(J2="","Fixed","Stepped Fixed")))</f>
        <v>Stepped Fixed</v>
      </c>
      <c r="F2" s="146"/>
      <c r="G2" s="147">
        <f>_xlfn.IFNA(VALUE(INDEX(Producer!$F:$F,MATCH($D2,Producer!$A:$A,0)))*100,"")</f>
        <v>6.99</v>
      </c>
      <c r="H2" s="216">
        <f>_xlfn.IFNA(IFERROR(DATEVALUE(INDEX(Producer!$M:$M,MATCH($D2,Producer!$A:$A,0))),(INDEX(Producer!$M:$M,MATCH($D2,Producer!$A:$A,0)))),"")</f>
        <v>46022</v>
      </c>
      <c r="I2" s="217">
        <f>_xlfn.IFNA(VALUE(INDEX(Producer!$B:$B,MATCH($D2,Producer!$A:$A,0)))*12,"")</f>
        <v>12</v>
      </c>
      <c r="J2" s="146">
        <f>_xlfn.IFNA(IF(C2="Residential",IF(VALUE(INDEX(Producer!$B:$B,MATCH($D2,Producer!$A:$A,0)))&lt;5,Constants!$C$10,""),IF(VALUE(INDEX(Producer!$B:$B,MATCH($D2,Producer!$A:$A,0)))&lt;5,Constants!$C$11,"")),"")</f>
        <v>7.49</v>
      </c>
      <c r="K2" s="216">
        <f>_xlfn.IFNA(IF(($I2)&lt;60,DATE(YEAR(H2)+(5-VALUE(INDEX(Producer!$B:$B,MATCH($D2,Producer!$A:$A,0)))),MONTH(H2),DAY(H2)),""),"")</f>
        <v>47483</v>
      </c>
      <c r="L2" s="153">
        <f>IFERROR(ROUNDDOWN(VALUE((K2-H2)/365)*12,0),"")</f>
        <v>48</v>
      </c>
      <c r="M2" s="146"/>
      <c r="N2" s="148"/>
      <c r="O2" s="148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>
        <f>IF(D2="","",IF(C2="Residential",Constants!$B$10,Constants!$B$11))</f>
        <v>8.24</v>
      </c>
      <c r="AL2" s="146" t="str">
        <f>IF(D2="","",IF(C2="Residential","SVR","BVR"))</f>
        <v>SVR</v>
      </c>
      <c r="AM2" s="206" t="str">
        <f>IF(E2="Tracker",0%,"")</f>
        <v/>
      </c>
      <c r="AN2" s="146">
        <f>IF(D2="","",IFERROR(IF(AQ2="","",10),10))</f>
        <v>10</v>
      </c>
      <c r="AO2" s="149" t="str">
        <f>IF(A2="","","Remortgage")</f>
        <v>Remortgage</v>
      </c>
      <c r="AP2" s="150" t="str">
        <f>IF(D2="","","ProductTransfer")</f>
        <v>ProductTransfer</v>
      </c>
      <c r="AQ2" s="146">
        <f>IFERROR(_xlfn.IFNA(IF($BA2="No",0,IF(INDEX(Constants!B:B,MATCH(($I2/12),Constants!$A:$A,0))=0,0,INDEX(Constants!B:B,MATCH(($I2/12),Constants!$A:$A,0)))),0),"")</f>
        <v>2</v>
      </c>
      <c r="AR2" s="146">
        <f>IFERROR(_xlfn.IFNA(IF($BA2="No",0,IF(INDEX(Constants!C:C,MATCH(($I2/12),Constants!$A:$A,0))=0,0,INDEX(Constants!C:C,MATCH(($I2/12),Constants!$A:$A,0)))),0),"")</f>
        <v>0</v>
      </c>
      <c r="AS2" s="146">
        <f>IFERROR(_xlfn.IFNA(IF($BA2="No",0,IF(INDEX(Constants!D:D,MATCH(($I2/12),Constants!$A:$A,0))=0,0,INDEX(Constants!D:D,MATCH(($I2/12),Constants!$A:$A,0)))),0),"")</f>
        <v>0</v>
      </c>
      <c r="AT2" s="146">
        <f>IFERROR(_xlfn.IFNA(IF($BA2="No",0,IF(INDEX(Constants!E:E,MATCH(($I2/12),Constants!$A:$A,0))=0,0,INDEX(Constants!E:E,MATCH(($I2/12),Constants!$A:$A,0)))),0),"")</f>
        <v>0</v>
      </c>
      <c r="AU2" s="146">
        <f>IFERROR(_xlfn.IFNA(IF($BA2="No",0,IF(INDEX(Constants!F:F,MATCH(($I2/12),Constants!$A:$A,0))=0,0,INDEX(Constants!F:F,MATCH(($I2/12),Constants!$A:$A,0)))),0),"")</f>
        <v>0</v>
      </c>
      <c r="AV2" s="146">
        <f>IFERROR(_xlfn.IFNA(IF($BA2="No",0,IF(INDEX(Constants!G:G,MATCH(($I2/12),Constants!$A:$A,0))=0,0,INDEX(Constants!G:G,MATCH(($I2/12),Constants!$A:$A,0)))),0),"")</f>
        <v>0</v>
      </c>
      <c r="AW2" s="146">
        <f>IFERROR(_xlfn.IFNA(IF($BA2="No",0,IF(INDEX(Constants!H:H,MATCH(($I2/12),Constants!$A:$A,0))=0,0,INDEX(Constants!H:H,MATCH(($I2/12),Constants!$A:$A,0)))),0),"")</f>
        <v>0</v>
      </c>
      <c r="AX2" s="146">
        <f>IFERROR(_xlfn.IFNA(IF($BA2="No",0,IF(INDEX(Constants!I:I,MATCH(($I2/12),Constants!$A:$A,0))=0,0,INDEX(Constants!I:I,MATCH(($I2/12),Constants!$A:$A,0)))),0),"")</f>
        <v>0</v>
      </c>
      <c r="AY2" s="146">
        <f>IFERROR(_xlfn.IFNA(IF($BA2="No",0,IF(INDEX(Constants!J:J,MATCH(($I2/12),Constants!$A:$A,0))=0,0,INDEX(Constants!J:J,MATCH(($I2/12),Constants!$A:$A,0)))),0),"")</f>
        <v>0</v>
      </c>
      <c r="AZ2" s="146">
        <f>IFERROR(_xlfn.IFNA(IF($BA2="No",0,IF(INDEX(Constants!K:K,MATCH(($I2/12),Constants!$A:$A,0))=0,0,INDEX(Constants!K:K,MATCH(($I2/12),Constants!$A:$A,0)))),0),"")</f>
        <v>0</v>
      </c>
      <c r="BA2" s="147" t="str">
        <f>_xlfn.IFNA(INDEX(Producer!$L:$L,MATCH($D2,Producer!$A:$A,0)),"")</f>
        <v>Yes</v>
      </c>
      <c r="BB2" s="146" t="str">
        <f>IFERROR(IF(AQ2=0,"",IF(($I2/12)=15,_xlfn.CONCAT(Constants!$N$7,TEXT(DATE(YEAR(H2)-(($I2/12)-3),MONTH(H2),DAY(H2)),"dd/mm/yyyy"),", ",Constants!$P$7,TEXT(DATE(YEAR(H2)-(($I2/12)-8),MONTH(H2),DAY(H2)),"dd/mm/yyyy"),", ",Constants!$T$7,TEXT(DATE(YEAR(H2)-(($I2/12)-11),MONTH(H2),DAY(H2)),"dd/mm/yyyy"),", ",Constants!$V$7,TEXT(DATE(YEAR(H2)-(($I2/12)-13),MONTH(H2),DAY(H2)),"dd/mm/yyyy"),", ",Constants!$W$7,TEXT($H2,"dd/mm/yyyy")),IF(($I2/12)=10,_xlfn.CONCAT(Constants!$N$6,TEXT(DATE(YEAR(H2)-(($I2/12)-2),MONTH(H2),DAY(H2)),"dd/mm/yyyy"),", ",Constants!$P$6,TEXT(DATE(YEAR(H2)-(($I2/12)-6),MONTH(H2),DAY(H2)),"dd/mm/yyyy"),", ",Constants!$T$6,TEXT(DATE(YEAR(H2)-(($I2/12)-8),MONTH(H2),DAY(H2)),"dd/mm/yyyy"),", ",Constants!$V$6,TEXT(DATE(YEAR(H2)-(($I2/12)-9),MONTH(H2),DAY(H2)),"dd/mm/yyyy"),", ",Constants!$W$6,TEXT($H2,"dd/mm/yyyy")),IF(($I2/12)=5,_xlfn.CONCAT(Constants!$N$5,TEXT(DATE(YEAR(H2)-(($I2/12)-1),MONTH(H2),DAY(H2)),"dd/mm/yyyy"),", ",Constants!$O$5,TEXT(DATE(YEAR(H2)-(($I2/12)-2),MONTH(H2),DAY(H2)),"dd/mm/yyyy"),", ",Constants!$P$5,TEXT(DATE(YEAR(H2)-(($I2/12)-3),MONTH(H2),DAY(H2)),"dd/mm/yyyy"),", ",Constants!$Q$5,TEXT(DATE(YEAR(H2)-(($I2/12)-4),MONTH(H2),DAY(H2)),"dd/mm/yyyy"),", ",Constants!$R$5,TEXT($H2,"dd/mm/yyyy")),IF(($I2/12)=3,_xlfn.CONCAT(Constants!$N$4,TEXT(DATE(YEAR(H2)-(($I2/12)-1),MONTH(H2),DAY(H2)),"dd/mm/yyyy"),", ",Constants!$O$4,TEXT(DATE(YEAR(H2)-(($I2/12)-2),MONTH(H2),DAY(H2)),"dd/mm/yyyy"),", ",Constants!$P$4,TEXT($H2,"dd/mm/yyyy")),IF(($I2/12)=2,_xlfn.CONCAT(Constants!$N$3,TEXT(DATE(YEAR(H2)-(($I2/12)-1),MONTH(H2),DAY(H2)),"dd/mm/yyyy"),", ",Constants!$O$3,TEXT($H2,"dd/mm/yyyy")),IF(($I2/12)=1,_xlfn.CONCAT(Constants!$N$2,TEXT($H2,"dd/mm/yyyy")),"Update Constants"))))))),"")</f>
        <v>2% to 31/12/2025</v>
      </c>
      <c r="BC2" s="147">
        <f>_xlfn.IFNA(VALUE(INDEX(Producer!$K:$K,MATCH($D2,Producer!$A:$A,0))),"")</f>
        <v>0</v>
      </c>
      <c r="BD2" s="147" t="str">
        <f>_xlfn.IFNA(INDEX(Producer!$I:$I,MATCH($D2,Producer!$A:$A,0)),"")</f>
        <v>No</v>
      </c>
      <c r="BE2" s="147" t="str">
        <f>IF(B2="","","Yes")</f>
        <v>Yes</v>
      </c>
      <c r="BF2" s="147"/>
      <c r="BG2" s="147"/>
      <c r="BH2" s="151">
        <f>_xlfn.IFNA(INDEX(Constants!$B:$B,MATCH(BC2,Constants!A:A,0)),"")</f>
        <v>0</v>
      </c>
      <c r="BI2" s="147" t="str">
        <f>IF(LEFT(B2,15)="Limited Company",Constants!$D$16,IFERROR(_xlfn.IFNA(IF(C2="Residential",IF(BK2&lt;75,INDEX(Constants!$B:$B,MATCH(VALUE(60)/100,Constants!$A:$A,0)),INDEX(Constants!$B:$B,MATCH(VALUE(BK2)/100,Constants!$A:$A,0))),IF(BK2&lt;60,INDEX(Constants!$C:$C,MATCH(VALUE(60)/100,Constants!$A:$A,0)),INDEX(Constants!$C:$C,MATCH(VALUE(BK2)/100,Constants!$A:$A,0)))),""),""))</f>
        <v/>
      </c>
      <c r="BJ2" s="147">
        <f>IF(B2="","",0)</f>
        <v>0</v>
      </c>
      <c r="BK2" s="147">
        <f>_xlfn.IFNA(VALUE(INDEX(Producer!$E:$E,MATCH($D2,Producer!$A:$A,0)))*100,"")</f>
        <v>150</v>
      </c>
      <c r="BL2" s="146" t="str">
        <f>_xlfn.IFNA(IF(IFERROR(FIND("Part &amp; Part",B2),-10)&gt;0,"PP",IF(OR(LEFT(B2,25)="Residential Interest Only",INDEX(Producer!$P:$P,MATCH($D2,Producer!$A:$A,0))="IO",INDEX(Producer!$P:$P,MATCH($D2,Producer!$A:$A,0))="Retirement Interest Only"),"IO",IF($C2="BuyToLet","CI, IO","CI"))),"")</f>
        <v>CI</v>
      </c>
      <c r="BM2" s="152" t="str">
        <f>_xlfn.IFNA(IF(BL2="IO",100%,IF(AND(INDEX(Producer!$P:$P,MATCH($D2,Producer!$A:$A,0))="Residential Interest Only Part &amp; Part",BK2=75),80%,IF(C2="BuyToLet",100%,IF(BL2="Interest Only",100%,IF(AND(INDEX(Producer!$P:$P,MATCH($D2,Producer!$A:$A,0))="Residential Interest Only Part &amp; Part",BK2=60),100%,""))))),"")</f>
        <v/>
      </c>
      <c r="BN2" s="218">
        <f>_xlfn.IFNA(IF(VALUE(INDEX(Producer!$H:$H,MATCH($D2,Producer!$A:$A,0)))=0,"",VALUE(INDEX(Producer!$H:$H,MATCH($D2,Producer!$A:$A,0)))),"")</f>
        <v>99</v>
      </c>
      <c r="BO2" s="153"/>
      <c r="BP2" s="153"/>
      <c r="BQ2" s="219">
        <f>IF(D2="","",35)</f>
        <v>35</v>
      </c>
      <c r="BR2" s="146"/>
      <c r="BS2" s="146"/>
      <c r="BT2" s="146"/>
      <c r="BU2" s="146"/>
      <c r="BV2" s="219">
        <f>IF(A2="","",199)</f>
        <v>199</v>
      </c>
      <c r="BW2" s="146"/>
      <c r="BX2" s="146"/>
      <c r="BY2" s="146" t="str">
        <f>IF(D2="","",IF(C2="BuyToLet","No","No"))</f>
        <v>No</v>
      </c>
      <c r="BZ2" s="146" t="str">
        <f>IF(D2="","","No")</f>
        <v>No</v>
      </c>
      <c r="CA2" s="146" t="str">
        <f>IF(D2="","",IF(LEFT(B2,12)="Second Homes","Only Available","No"))</f>
        <v>No</v>
      </c>
      <c r="CB2" s="146" t="str">
        <f>IF(D2="","","No")</f>
        <v>No</v>
      </c>
      <c r="CC2" s="146" t="str">
        <f>_xlfn.IFNA(IF(INDEX(Producer!$P:$P,MATCH($D2,Producer!$A:$A,0))="Help to Buy","Only available","No"),"")</f>
        <v>No</v>
      </c>
      <c r="CD2" s="146" t="str">
        <f>_xlfn.IFNA(IF(INDEX(Producer!$P:$P,MATCH($D2,Producer!$A:$A,0))="Shared Ownership","Only available","No"),"")</f>
        <v>No</v>
      </c>
      <c r="CE2" s="146" t="str">
        <f>_xlfn.IFNA(IF(INDEX(Producer!$P:$P,MATCH($D2,Producer!$A:$A,0))="Right to Buy","Only available","No"),"")</f>
        <v>No</v>
      </c>
      <c r="CF2" s="146" t="str">
        <f>IF(D2="","","No")</f>
        <v>No</v>
      </c>
      <c r="CG2" s="146" t="str">
        <f>_xlfn.IFNA(IF(INDEX(Producer!$P:$P,MATCH($D2,Producer!$A:$A,0))="Retirement Interest Only","Only available","No"),"")</f>
        <v>No</v>
      </c>
      <c r="CH2" s="146" t="str">
        <f>IF(B2="","",IF(LEFT(B2,15)="Limited Company","Only available","No"))</f>
        <v>No</v>
      </c>
      <c r="CI2" s="146" t="str">
        <f>_xlfn.IFNA(IF(INDEX(Producer!$P:$P,MATCH($D2,Producer!$A:$A,0))="Intermediary Holiday Let","Only available","No"),"")</f>
        <v>No</v>
      </c>
      <c r="CJ2" s="146" t="str">
        <f>IF(D2="","","No")</f>
        <v>No</v>
      </c>
      <c r="CK2" s="146" t="str">
        <f>_xlfn.IFNA(IF(OR(INDEX(Producer!$P:$P,MATCH($D2,Producer!$A:$A,0))="Intermediary Small HMO",INDEX(Producer!$P:$P,MATCH($D2,Producer!$A:$A,0))="Intermediary Large HMO"),"Only available","No"),"")</f>
        <v>No</v>
      </c>
      <c r="CL2" s="146" t="str">
        <f>IF(D2="","",IF(AND(LEFT(B2,15)&lt;&gt;"Limited Company",C2="BuyToLet"),"Also available","No"))</f>
        <v>No</v>
      </c>
      <c r="CM2" s="146" t="str">
        <f>IF(B2="","",IF(LEFT(B2,26)="Intermediary Portfolio BTL","Only available",IF(OR(LEFT(B2,18)="Intermediary Large",LEFT(B2,18)="Intermediary Small",LEFT(B2,20)="Intermediary Holiday",LEFT(B2,15)="Limited Company"),"Also available","No")))</f>
        <v>No</v>
      </c>
      <c r="CN2" s="146" t="str">
        <f>IF(D2="","","No")</f>
        <v>No</v>
      </c>
      <c r="CO2" s="146" t="str">
        <f>IF(A2="","",IF(AND(C2="Residential",BK2&lt;95),"Also available",IF(AND(C2="BuyToLet",BK2&lt;80),"Also available","No")))</f>
        <v>No</v>
      </c>
      <c r="CP2" s="146" t="str">
        <f>IF(B2="","",IF(LEFT(B2,13)="Shared Equity","Only available","No"))</f>
        <v>No</v>
      </c>
      <c r="CQ2" s="146" t="str">
        <f>IF(B2="","","No")</f>
        <v>No</v>
      </c>
      <c r="CR2" s="146" t="str">
        <f>IF(B2="","",IF(IFERROR(FIND("Green",B2),-10)&gt;0,"Only available","Also available"))</f>
        <v>Also available</v>
      </c>
      <c r="CS2" s="146" t="str">
        <f>IF(B2="","","Only available")</f>
        <v>Only available</v>
      </c>
      <c r="CT2" s="146" t="str">
        <f>IF(B2="","","No")</f>
        <v>No</v>
      </c>
      <c r="CU2" s="146"/>
    </row>
    <row r="3" spans="1:99" ht="16.399999999999999" customHeight="1" x14ac:dyDescent="0.35">
      <c r="A3" s="145" t="str">
        <f t="shared" ref="A3:A66" si="0">IF(B3="","","Leeds Building Society")</f>
        <v>Leeds Building Society</v>
      </c>
      <c r="B3" s="145" t="str">
        <f>_xlfn.IFNA(_xlfn.CONCAT(INDEX(Producer!$P:$P,MATCH($D3,Producer!$A:$A,0))," ",IF(INDEX(Producer!$N:$N,MATCH($D3,Producer!$A:$A,0))="Yes","Green ",""),IF(AND(INDEX(Producer!$L:$L,MATCH($D3,Producer!$A:$A,0))="No",INDEX(Producer!$C:$C,MATCH($D3,Producer!$A:$A,0))="Fixed"),"Flexit ",""),INDEX(Producer!$B:$B,MATCH($D3,Producer!$A:$A,0))," Year ",INDEX(Producer!$C:$C,MATCH($D3,Producer!$A:$A,0))," ",VALUE(INDEX(Producer!$E:$E,MATCH($D3,Producer!$A:$A,0)))*100,"% LTV",IF(INDEX(Producer!$N:$N,MATCH($D3,Producer!$A:$A,0))="Yes"," (EPC A-C)","")," - ",IF(INDEX(Producer!$D:$D,MATCH($D3,Producer!$A:$A,0))="DLY","Daily","Annual")),"")</f>
        <v>Residential 2 Year Fixed 65% LTV - Daily</v>
      </c>
      <c r="C3" s="146" t="str">
        <f>_xlfn.IFNA(INDEX(Producer!$Q:$Q,MATCH($D3,Producer!$A:$A,0)),"")</f>
        <v>Residential</v>
      </c>
      <c r="D3" s="146">
        <f>IFERROR(VALUE(MID(Producer!$R$2,IF($D2="",1/0,FIND($D2,Producer!$R$2)+5),5)),"")</f>
        <v>54339</v>
      </c>
      <c r="E3" s="146" t="str">
        <f t="shared" ref="E3:E66" si="1">IF(D3="","",IF(IFERROR(FIND("Tracker",B3),-1)&gt;0,"Tracker",IF(J3="","Fixed","Stepped Fixed")))</f>
        <v>Stepped Fixed</v>
      </c>
      <c r="F3" s="146"/>
      <c r="G3" s="147">
        <f>_xlfn.IFNA(VALUE(INDEX(Producer!$F:$F,MATCH($D3,Producer!$A:$A,0)))*100,"")</f>
        <v>4.2799999999999994</v>
      </c>
      <c r="H3" s="216">
        <f>_xlfn.IFNA(IFERROR(DATEVALUE(INDEX(Producer!$M:$M,MATCH($D3,Producer!$A:$A,0))),(INDEX(Producer!$M:$M,MATCH($D3,Producer!$A:$A,0)))),"")</f>
        <v>46418</v>
      </c>
      <c r="I3" s="217">
        <f>_xlfn.IFNA(VALUE(INDEX(Producer!$B:$B,MATCH($D3,Producer!$A:$A,0)))*12,"")</f>
        <v>24</v>
      </c>
      <c r="J3" s="146">
        <f>_xlfn.IFNA(IF(C3="Residential",IF(VALUE(INDEX(Producer!$B:$B,MATCH($D3,Producer!$A:$A,0)))&lt;5,Constants!$C$10,""),IF(VALUE(INDEX(Producer!$B:$B,MATCH($D3,Producer!$A:$A,0)))&lt;5,Constants!$C$11,"")),"")</f>
        <v>7.49</v>
      </c>
      <c r="K3" s="216">
        <f>_xlfn.IFNA(IF(($I3)&lt;60,DATE(YEAR(H3)+(5-VALUE(INDEX(Producer!$B:$B,MATCH($D3,Producer!$A:$A,0)))),MONTH(H3),DAY(H3)),""),"")</f>
        <v>47514</v>
      </c>
      <c r="L3" s="153">
        <f t="shared" ref="L3:L66" si="2">IFERROR(ROUNDDOWN(VALUE((K3-H3)/365)*12,0),"")</f>
        <v>36</v>
      </c>
      <c r="M3" s="146"/>
      <c r="N3" s="148"/>
      <c r="O3" s="148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>
        <f>IF(D3="","",IF(C3="Residential",Constants!$B$10,Constants!$B$11))</f>
        <v>8.24</v>
      </c>
      <c r="AL3" s="146" t="str">
        <f t="shared" ref="AL3:AL66" si="3">IF(D3="","",IF(C3="Residential","SVR","BVR"))</f>
        <v>SVR</v>
      </c>
      <c r="AM3" s="206" t="str">
        <f t="shared" ref="AM3:AM66" si="4">IF(E3="Tracker",0%,"")</f>
        <v/>
      </c>
      <c r="AN3" s="146">
        <f t="shared" ref="AN3:AN66" si="5">IF(D3="","",IFERROR(IF(AQ3="","",10),10))</f>
        <v>10</v>
      </c>
      <c r="AO3" s="149" t="str">
        <f t="shared" ref="AO3:AO66" si="6">IF(A3="","","Remortgage")</f>
        <v>Remortgage</v>
      </c>
      <c r="AP3" s="150" t="str">
        <f t="shared" ref="AP3:AP66" si="7">IF(D3="","","ProductTransfer")</f>
        <v>ProductTransfer</v>
      </c>
      <c r="AQ3" s="146">
        <f>IFERROR(_xlfn.IFNA(IF($BA3="No",0,IF(INDEX(Constants!B:B,MATCH(($I3/12),Constants!$A:$A,0))=0,0,INDEX(Constants!B:B,MATCH(($I3/12),Constants!$A:$A,0)))),0),"")</f>
        <v>2.5</v>
      </c>
      <c r="AR3" s="146">
        <f>IFERROR(_xlfn.IFNA(IF($BA3="No",0,IF(INDEX(Constants!C:C,MATCH(($I3/12),Constants!$A:$A,0))=0,0,INDEX(Constants!C:C,MATCH(($I3/12),Constants!$A:$A,0)))),0),"")</f>
        <v>1.5</v>
      </c>
      <c r="AS3" s="146">
        <f>IFERROR(_xlfn.IFNA(IF($BA3="No",0,IF(INDEX(Constants!D:D,MATCH(($I3/12),Constants!$A:$A,0))=0,0,INDEX(Constants!D:D,MATCH(($I3/12),Constants!$A:$A,0)))),0),"")</f>
        <v>0</v>
      </c>
      <c r="AT3" s="146">
        <f>IFERROR(_xlfn.IFNA(IF($BA3="No",0,IF(INDEX(Constants!E:E,MATCH(($I3/12),Constants!$A:$A,0))=0,0,INDEX(Constants!E:E,MATCH(($I3/12),Constants!$A:$A,0)))),0),"")</f>
        <v>0</v>
      </c>
      <c r="AU3" s="146">
        <f>IFERROR(_xlfn.IFNA(IF($BA3="No",0,IF(INDEX(Constants!F:F,MATCH(($I3/12),Constants!$A:$A,0))=0,0,INDEX(Constants!F:F,MATCH(($I3/12),Constants!$A:$A,0)))),0),"")</f>
        <v>0</v>
      </c>
      <c r="AV3" s="146">
        <f>IFERROR(_xlfn.IFNA(IF($BA3="No",0,IF(INDEX(Constants!G:G,MATCH(($I3/12),Constants!$A:$A,0))=0,0,INDEX(Constants!G:G,MATCH(($I3/12),Constants!$A:$A,0)))),0),"")</f>
        <v>0</v>
      </c>
      <c r="AW3" s="146">
        <f>IFERROR(_xlfn.IFNA(IF($BA3="No",0,IF(INDEX(Constants!H:H,MATCH(($I3/12),Constants!$A:$A,0))=0,0,INDEX(Constants!H:H,MATCH(($I3/12),Constants!$A:$A,0)))),0),"")</f>
        <v>0</v>
      </c>
      <c r="AX3" s="146">
        <f>IFERROR(_xlfn.IFNA(IF($BA3="No",0,IF(INDEX(Constants!I:I,MATCH(($I3/12),Constants!$A:$A,0))=0,0,INDEX(Constants!I:I,MATCH(($I3/12),Constants!$A:$A,0)))),0),"")</f>
        <v>0</v>
      </c>
      <c r="AY3" s="146">
        <f>IFERROR(_xlfn.IFNA(IF($BA3="No",0,IF(INDEX(Constants!J:J,MATCH(($I3/12),Constants!$A:$A,0))=0,0,INDEX(Constants!J:J,MATCH(($I3/12),Constants!$A:$A,0)))),0),"")</f>
        <v>0</v>
      </c>
      <c r="AZ3" s="146">
        <f>IFERROR(_xlfn.IFNA(IF($BA3="No",0,IF(INDEX(Constants!K:K,MATCH(($I3/12),Constants!$A:$A,0))=0,0,INDEX(Constants!K:K,MATCH(($I3/12),Constants!$A:$A,0)))),0),"")</f>
        <v>0</v>
      </c>
      <c r="BA3" s="147" t="str">
        <f>_xlfn.IFNA(INDEX(Producer!$L:$L,MATCH($D3,Producer!$A:$A,0)),"")</f>
        <v>Yes</v>
      </c>
      <c r="BB3" s="146" t="str">
        <f>IFERROR(IF(AQ3=0,"",IF(($I3/12)=15,_xlfn.CONCAT(Constants!$N$7,TEXT(DATE(YEAR(H3)-(($I3/12)-3),MONTH(H3),DAY(H3)),"dd/mm/yyyy"),", ",Constants!$P$7,TEXT(DATE(YEAR(H3)-(($I3/12)-8),MONTH(H3),DAY(H3)),"dd/mm/yyyy"),", ",Constants!$T$7,TEXT(DATE(YEAR(H3)-(($I3/12)-11),MONTH(H3),DAY(H3)),"dd/mm/yyyy"),", ",Constants!$V$7,TEXT(DATE(YEAR(H3)-(($I3/12)-13),MONTH(H3),DAY(H3)),"dd/mm/yyyy"),", ",Constants!$W$7,TEXT($H3,"dd/mm/yyyy")),IF(($I3/12)=10,_xlfn.CONCAT(Constants!$N$6,TEXT(DATE(YEAR(H3)-(($I3/12)-2),MONTH(H3),DAY(H3)),"dd/mm/yyyy"),", ",Constants!$P$6,TEXT(DATE(YEAR(H3)-(($I3/12)-6),MONTH(H3),DAY(H3)),"dd/mm/yyyy"),", ",Constants!$T$6,TEXT(DATE(YEAR(H3)-(($I3/12)-8),MONTH(H3),DAY(H3)),"dd/mm/yyyy"),", ",Constants!$V$6,TEXT(DATE(YEAR(H3)-(($I3/12)-9),MONTH(H3),DAY(H3)),"dd/mm/yyyy"),", ",Constants!$W$6,TEXT($H3,"dd/mm/yyyy")),IF(($I3/12)=5,_xlfn.CONCAT(Constants!$N$5,TEXT(DATE(YEAR(H3)-(($I3/12)-1),MONTH(H3),DAY(H3)),"dd/mm/yyyy"),", ",Constants!$O$5,TEXT(DATE(YEAR(H3)-(($I3/12)-2),MONTH(H3),DAY(H3)),"dd/mm/yyyy"),", ",Constants!$P$5,TEXT(DATE(YEAR(H3)-(($I3/12)-3),MONTH(H3),DAY(H3)),"dd/mm/yyyy"),", ",Constants!$Q$5,TEXT(DATE(YEAR(H3)-(($I3/12)-4),MONTH(H3),DAY(H3)),"dd/mm/yyyy"),", ",Constants!$R$5,TEXT($H3,"dd/mm/yyyy")),IF(($I3/12)=3,_xlfn.CONCAT(Constants!$N$4,TEXT(DATE(YEAR(H3)-(($I3/12)-1),MONTH(H3),DAY(H3)),"dd/mm/yyyy"),", ",Constants!$O$4,TEXT(DATE(YEAR(H3)-(($I3/12)-2),MONTH(H3),DAY(H3)),"dd/mm/yyyy"),", ",Constants!$P$4,TEXT($H3,"dd/mm/yyyy")),IF(($I3/12)=2,_xlfn.CONCAT(Constants!$N$3,TEXT(DATE(YEAR(H3)-(($I3/12)-1),MONTH(H3),DAY(H3)),"dd/mm/yyyy"),", ",Constants!$O$3,TEXT($H3,"dd/mm/yyyy")),IF(($I3/12)=1,_xlfn.CONCAT(Constants!$N$2,TEXT($H3,"dd/mm/yyyy")),"Update Constants"))))))),"")</f>
        <v>2.5% to 31/01/2026, 1.5% to 31/01/2027</v>
      </c>
      <c r="BC3" s="147">
        <f>_xlfn.IFNA(VALUE(INDEX(Producer!$K:$K,MATCH($D3,Producer!$A:$A,0))),"")</f>
        <v>0</v>
      </c>
      <c r="BD3" s="147" t="str">
        <f>_xlfn.IFNA(INDEX(Producer!$I:$I,MATCH($D3,Producer!$A:$A,0)),"")</f>
        <v>No</v>
      </c>
      <c r="BE3" s="147" t="str">
        <f t="shared" ref="BE3:BE66" si="8">IF(B3="","","Yes")</f>
        <v>Yes</v>
      </c>
      <c r="BF3" s="147"/>
      <c r="BG3" s="147"/>
      <c r="BH3" s="151">
        <f>_xlfn.IFNA(INDEX(Constants!$B:$B,MATCH(BC3,Constants!A:A,0)),"")</f>
        <v>0</v>
      </c>
      <c r="BI3" s="147">
        <f>IF(LEFT(B3,15)="Limited Company",Constants!$D$16,IFERROR(_xlfn.IFNA(IF(C3="Residential",IF(BK3&lt;75,INDEX(Constants!$B:$B,MATCH(VALUE(60)/100,Constants!$A:$A,0)),INDEX(Constants!$B:$B,MATCH(VALUE(BK3)/100,Constants!$A:$A,0))),IF(BK3&lt;60,INDEX(Constants!$C:$C,MATCH(VALUE(60)/100,Constants!$A:$A,0)),INDEX(Constants!$C:$C,MATCH(VALUE(BK3)/100,Constants!$A:$A,0)))),""),""))</f>
        <v>2000000</v>
      </c>
      <c r="BJ3" s="147">
        <f t="shared" ref="BJ3:BJ66" si="9">IF(B3="","",0)</f>
        <v>0</v>
      </c>
      <c r="BK3" s="147">
        <f>_xlfn.IFNA(VALUE(INDEX(Producer!$E:$E,MATCH($D3,Producer!$A:$A,0)))*100,"")</f>
        <v>65</v>
      </c>
      <c r="BL3" s="146" t="str">
        <f>_xlfn.IFNA(IF(IFERROR(FIND("Part &amp; Part",B3),-10)&gt;0,"PP",IF(OR(LEFT(B3,25)="Residential Interest Only",INDEX(Producer!$P:$P,MATCH($D3,Producer!$A:$A,0))="IO",INDEX(Producer!$P:$P,MATCH($D3,Producer!$A:$A,0))="Retirement Interest Only"),"IO",IF($C3="BuyToLet","CI, IO","CI"))),"")</f>
        <v>CI</v>
      </c>
      <c r="BM3" s="152" t="str">
        <f>_xlfn.IFNA(IF(BL3="IO",100%,IF(AND(INDEX(Producer!$P:$P,MATCH($D3,Producer!$A:$A,0))="Residential Interest Only Part &amp; Part",BK3=75),80%,IF(C3="BuyToLet",100%,IF(BL3="Interest Only",100%,IF(AND(INDEX(Producer!$P:$P,MATCH($D3,Producer!$A:$A,0))="Residential Interest Only Part &amp; Part",BK3=60),100%,""))))),"")</f>
        <v/>
      </c>
      <c r="BN3" s="218">
        <f>_xlfn.IFNA(IF(VALUE(INDEX(Producer!$H:$H,MATCH($D3,Producer!$A:$A,0)))=0,"",VALUE(INDEX(Producer!$H:$H,MATCH($D3,Producer!$A:$A,0)))),"")</f>
        <v>799</v>
      </c>
      <c r="BO3" s="153"/>
      <c r="BP3" s="153"/>
      <c r="BQ3" s="219">
        <f t="shared" ref="BQ3:BQ66" si="10">IF(D3="","",35)</f>
        <v>35</v>
      </c>
      <c r="BR3" s="146"/>
      <c r="BS3" s="146"/>
      <c r="BT3" s="146"/>
      <c r="BU3" s="146"/>
      <c r="BV3" s="219">
        <f t="shared" ref="BV3:BV66" si="11">IF(A3="","",199)</f>
        <v>199</v>
      </c>
      <c r="BW3" s="146"/>
      <c r="BX3" s="146"/>
      <c r="BY3" s="146" t="str">
        <f t="shared" ref="BY3:BY66" si="12">IF(D3="","",IF(C3="BuyToLet","No","No"))</f>
        <v>No</v>
      </c>
      <c r="BZ3" s="146" t="str">
        <f t="shared" ref="BZ3:BZ66" si="13">IF(D3="","","No")</f>
        <v>No</v>
      </c>
      <c r="CA3" s="146" t="str">
        <f t="shared" ref="CA3:CA66" si="14">IF(D3="","",IF(LEFT(B3,12)="Second Homes","Only Available","No"))</f>
        <v>No</v>
      </c>
      <c r="CB3" s="146" t="str">
        <f t="shared" ref="CB3:CB66" si="15">IF(D3="","","No")</f>
        <v>No</v>
      </c>
      <c r="CC3" s="146" t="str">
        <f>_xlfn.IFNA(IF(INDEX(Producer!$P:$P,MATCH($D3,Producer!$A:$A,0))="Help to Buy","Only available","No"),"")</f>
        <v>No</v>
      </c>
      <c r="CD3" s="146" t="str">
        <f>_xlfn.IFNA(IF(INDEX(Producer!$P:$P,MATCH($D3,Producer!$A:$A,0))="Shared Ownership","Only available","No"),"")</f>
        <v>No</v>
      </c>
      <c r="CE3" s="146" t="str">
        <f>_xlfn.IFNA(IF(INDEX(Producer!$P:$P,MATCH($D3,Producer!$A:$A,0))="Right to Buy","Only available","No"),"")</f>
        <v>No</v>
      </c>
      <c r="CF3" s="146" t="str">
        <f t="shared" ref="CF3:CF66" si="16">IF(D3="","","No")</f>
        <v>No</v>
      </c>
      <c r="CG3" s="146" t="str">
        <f>_xlfn.IFNA(IF(INDEX(Producer!$P:$P,MATCH($D3,Producer!$A:$A,0))="Retirement Interest Only","Only available","No"),"")</f>
        <v>No</v>
      </c>
      <c r="CH3" s="146" t="str">
        <f t="shared" ref="CH3:CH66" si="17">IF(B3="","",IF(LEFT(B3,15)="Limited Company","Only available","No"))</f>
        <v>No</v>
      </c>
      <c r="CI3" s="146" t="str">
        <f>_xlfn.IFNA(IF(INDEX(Producer!$P:$P,MATCH($D3,Producer!$A:$A,0))="Intermediary Holiday Let","Only available","No"),"")</f>
        <v>No</v>
      </c>
      <c r="CJ3" s="146" t="str">
        <f t="shared" ref="CJ3:CJ66" si="18">IF(D3="","","No")</f>
        <v>No</v>
      </c>
      <c r="CK3" s="146" t="str">
        <f>_xlfn.IFNA(IF(OR(INDEX(Producer!$P:$P,MATCH($D3,Producer!$A:$A,0))="Intermediary Small HMO",INDEX(Producer!$P:$P,MATCH($D3,Producer!$A:$A,0))="Intermediary Large HMO"),"Only available","No"),"")</f>
        <v>No</v>
      </c>
      <c r="CL3" s="146" t="str">
        <f t="shared" ref="CL3:CL66" si="19">IF(D3="","",IF(AND(LEFT(B3,15)&lt;&gt;"Limited Company",C3="BuyToLet"),"Also available","No"))</f>
        <v>No</v>
      </c>
      <c r="CM3" s="146" t="str">
        <f t="shared" ref="CM3:CM66" si="20">IF(B3="","",IF(LEFT(B3,26)="Intermediary Portfolio BTL","Only available",IF(OR(LEFT(B3,18)="Intermediary Large",LEFT(B3,18)="Intermediary Small",LEFT(B3,20)="Intermediary Holiday",LEFT(B3,15)="Limited Company"),"Also available","No")))</f>
        <v>No</v>
      </c>
      <c r="CN3" s="146" t="str">
        <f t="shared" ref="CN3:CN66" si="21">IF(D3="","","No")</f>
        <v>No</v>
      </c>
      <c r="CO3" s="146" t="str">
        <f t="shared" ref="CO3:CO66" si="22">IF(A3="","",IF(AND(C3="Residential",BK3&lt;95),"Also available",IF(AND(C3="BuyToLet",BK3&lt;80),"Also available","No")))</f>
        <v>Also available</v>
      </c>
      <c r="CP3" s="146" t="str">
        <f t="shared" ref="CP3:CP66" si="23">IF(B3="","",IF(LEFT(B3,13)="Shared Equity","Only available","No"))</f>
        <v>No</v>
      </c>
      <c r="CQ3" s="146" t="str">
        <f t="shared" ref="CQ3:CQ66" si="24">IF(B3="","","No")</f>
        <v>No</v>
      </c>
      <c r="CR3" s="146" t="str">
        <f t="shared" ref="CR3:CR66" si="25">IF(B3="","",IF(IFERROR(FIND("Green",B3),-10)&gt;0,"Only available","Also available"))</f>
        <v>Also available</v>
      </c>
      <c r="CS3" s="146" t="str">
        <f t="shared" ref="CS3:CS66" si="26">IF(B3="","","Only available")</f>
        <v>Only available</v>
      </c>
      <c r="CT3" s="146" t="str">
        <f t="shared" ref="CT3:CT66" si="27">IF(B3="","","No")</f>
        <v>No</v>
      </c>
      <c r="CU3" s="146"/>
    </row>
    <row r="4" spans="1:99" ht="16.399999999999999" customHeight="1" x14ac:dyDescent="0.35">
      <c r="A4" s="145" t="str">
        <f t="shared" si="0"/>
        <v>Leeds Building Society</v>
      </c>
      <c r="B4" s="145" t="str">
        <f>_xlfn.IFNA(_xlfn.CONCAT(INDEX(Producer!$P:$P,MATCH($D4,Producer!$A:$A,0))," ",IF(INDEX(Producer!$N:$N,MATCH($D4,Producer!$A:$A,0))="Yes","Green ",""),IF(AND(INDEX(Producer!$L:$L,MATCH($D4,Producer!$A:$A,0))="No",INDEX(Producer!$C:$C,MATCH($D4,Producer!$A:$A,0))="Fixed"),"Flexit ",""),INDEX(Producer!$B:$B,MATCH($D4,Producer!$A:$A,0))," Year ",INDEX(Producer!$C:$C,MATCH($D4,Producer!$A:$A,0))," ",VALUE(INDEX(Producer!$E:$E,MATCH($D4,Producer!$A:$A,0)))*100,"% LTV",IF(INDEX(Producer!$N:$N,MATCH($D4,Producer!$A:$A,0))="Yes"," (EPC A-C)","")," - ",IF(INDEX(Producer!$D:$D,MATCH($D4,Producer!$A:$A,0))="DLY","Daily","Annual")),"")</f>
        <v>Residential 2 Year Fixed 65% LTV - Daily</v>
      </c>
      <c r="C4" s="146" t="str">
        <f>_xlfn.IFNA(INDEX(Producer!$Q:$Q,MATCH($D4,Producer!$A:$A,0)),"")</f>
        <v>Residential</v>
      </c>
      <c r="D4" s="146">
        <f>IFERROR(VALUE(MID(Producer!$R$2,IF($D3="",1/0,FIND(_xlfn.CONCAT($D2,$D3),Producer!$R$2)+10),5)),"")</f>
        <v>54341</v>
      </c>
      <c r="E4" s="146" t="str">
        <f t="shared" si="1"/>
        <v>Stepped Fixed</v>
      </c>
      <c r="F4" s="146"/>
      <c r="G4" s="147">
        <f>_xlfn.IFNA(VALUE(INDEX(Producer!$F:$F,MATCH($D4,Producer!$A:$A,0)))*100,"")</f>
        <v>4.45</v>
      </c>
      <c r="H4" s="216">
        <f>_xlfn.IFNA(IFERROR(DATEVALUE(INDEX(Producer!$M:$M,MATCH($D4,Producer!$A:$A,0))),(INDEX(Producer!$M:$M,MATCH($D4,Producer!$A:$A,0)))),"")</f>
        <v>46418</v>
      </c>
      <c r="I4" s="217">
        <f>_xlfn.IFNA(VALUE(INDEX(Producer!$B:$B,MATCH($D4,Producer!$A:$A,0)))*12,"")</f>
        <v>24</v>
      </c>
      <c r="J4" s="146">
        <f>_xlfn.IFNA(IF(C4="Residential",IF(VALUE(INDEX(Producer!$B:$B,MATCH($D4,Producer!$A:$A,0)))&lt;5,Constants!$C$10,""),IF(VALUE(INDEX(Producer!$B:$B,MATCH($D4,Producer!$A:$A,0)))&lt;5,Constants!$C$11,"")),"")</f>
        <v>7.49</v>
      </c>
      <c r="K4" s="216">
        <f>_xlfn.IFNA(IF(($I4)&lt;60,DATE(YEAR(H4)+(5-VALUE(INDEX(Producer!$B:$B,MATCH($D4,Producer!$A:$A,0)))),MONTH(H4),DAY(H4)),""),"")</f>
        <v>47514</v>
      </c>
      <c r="L4" s="153">
        <f t="shared" si="2"/>
        <v>36</v>
      </c>
      <c r="M4" s="146"/>
      <c r="N4" s="148"/>
      <c r="O4" s="148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>
        <f>IF(D4="","",IF(C4="Residential",Constants!$B$10,Constants!$B$11))</f>
        <v>8.24</v>
      </c>
      <c r="AL4" s="146" t="str">
        <f t="shared" si="3"/>
        <v>SVR</v>
      </c>
      <c r="AM4" s="206" t="str">
        <f t="shared" si="4"/>
        <v/>
      </c>
      <c r="AN4" s="146">
        <f t="shared" si="5"/>
        <v>10</v>
      </c>
      <c r="AO4" s="149" t="str">
        <f t="shared" si="6"/>
        <v>Remortgage</v>
      </c>
      <c r="AP4" s="150" t="str">
        <f t="shared" si="7"/>
        <v>ProductTransfer</v>
      </c>
      <c r="AQ4" s="146">
        <f>IFERROR(_xlfn.IFNA(IF($BA4="No",0,IF(INDEX(Constants!B:B,MATCH(($I4/12),Constants!$A:$A,0))=0,0,INDEX(Constants!B:B,MATCH(($I4/12),Constants!$A:$A,0)))),0),"")</f>
        <v>2.5</v>
      </c>
      <c r="AR4" s="146">
        <f>IFERROR(_xlfn.IFNA(IF($BA4="No",0,IF(INDEX(Constants!C:C,MATCH(($I4/12),Constants!$A:$A,0))=0,0,INDEX(Constants!C:C,MATCH(($I4/12),Constants!$A:$A,0)))),0),"")</f>
        <v>1.5</v>
      </c>
      <c r="AS4" s="146">
        <f>IFERROR(_xlfn.IFNA(IF($BA4="No",0,IF(INDEX(Constants!D:D,MATCH(($I4/12),Constants!$A:$A,0))=0,0,INDEX(Constants!D:D,MATCH(($I4/12),Constants!$A:$A,0)))),0),"")</f>
        <v>0</v>
      </c>
      <c r="AT4" s="146">
        <f>IFERROR(_xlfn.IFNA(IF($BA4="No",0,IF(INDEX(Constants!E:E,MATCH(($I4/12),Constants!$A:$A,0))=0,0,INDEX(Constants!E:E,MATCH(($I4/12),Constants!$A:$A,0)))),0),"")</f>
        <v>0</v>
      </c>
      <c r="AU4" s="146">
        <f>IFERROR(_xlfn.IFNA(IF($BA4="No",0,IF(INDEX(Constants!F:F,MATCH(($I4/12),Constants!$A:$A,0))=0,0,INDEX(Constants!F:F,MATCH(($I4/12),Constants!$A:$A,0)))),0),"")</f>
        <v>0</v>
      </c>
      <c r="AV4" s="146">
        <f>IFERROR(_xlfn.IFNA(IF($BA4="No",0,IF(INDEX(Constants!G:G,MATCH(($I4/12),Constants!$A:$A,0))=0,0,INDEX(Constants!G:G,MATCH(($I4/12),Constants!$A:$A,0)))),0),"")</f>
        <v>0</v>
      </c>
      <c r="AW4" s="146">
        <f>IFERROR(_xlfn.IFNA(IF($BA4="No",0,IF(INDEX(Constants!H:H,MATCH(($I4/12),Constants!$A:$A,0))=0,0,INDEX(Constants!H:H,MATCH(($I4/12),Constants!$A:$A,0)))),0),"")</f>
        <v>0</v>
      </c>
      <c r="AX4" s="146">
        <f>IFERROR(_xlfn.IFNA(IF($BA4="No",0,IF(INDEX(Constants!I:I,MATCH(($I4/12),Constants!$A:$A,0))=0,0,INDEX(Constants!I:I,MATCH(($I4/12),Constants!$A:$A,0)))),0),"")</f>
        <v>0</v>
      </c>
      <c r="AY4" s="146">
        <f>IFERROR(_xlfn.IFNA(IF($BA4="No",0,IF(INDEX(Constants!J:J,MATCH(($I4/12),Constants!$A:$A,0))=0,0,INDEX(Constants!J:J,MATCH(($I4/12),Constants!$A:$A,0)))),0),"")</f>
        <v>0</v>
      </c>
      <c r="AZ4" s="146">
        <f>IFERROR(_xlfn.IFNA(IF($BA4="No",0,IF(INDEX(Constants!K:K,MATCH(($I4/12),Constants!$A:$A,0))=0,0,INDEX(Constants!K:K,MATCH(($I4/12),Constants!$A:$A,0)))),0),"")</f>
        <v>0</v>
      </c>
      <c r="BA4" s="147" t="str">
        <f>_xlfn.IFNA(INDEX(Producer!$L:$L,MATCH($D4,Producer!$A:$A,0)),"")</f>
        <v>Yes</v>
      </c>
      <c r="BB4" s="146" t="str">
        <f>IFERROR(IF(AQ4=0,"",IF(($I4/12)=15,_xlfn.CONCAT(Constants!$N$7,TEXT(DATE(YEAR(H4)-(($I4/12)-3),MONTH(H4),DAY(H4)),"dd/mm/yyyy"),", ",Constants!$P$7,TEXT(DATE(YEAR(H4)-(($I4/12)-8),MONTH(H4),DAY(H4)),"dd/mm/yyyy"),", ",Constants!$T$7,TEXT(DATE(YEAR(H4)-(($I4/12)-11),MONTH(H4),DAY(H4)),"dd/mm/yyyy"),", ",Constants!$V$7,TEXT(DATE(YEAR(H4)-(($I4/12)-13),MONTH(H4),DAY(H4)),"dd/mm/yyyy"),", ",Constants!$W$7,TEXT($H4,"dd/mm/yyyy")),IF(($I4/12)=10,_xlfn.CONCAT(Constants!$N$6,TEXT(DATE(YEAR(H4)-(($I4/12)-2),MONTH(H4),DAY(H4)),"dd/mm/yyyy"),", ",Constants!$P$6,TEXT(DATE(YEAR(H4)-(($I4/12)-6),MONTH(H4),DAY(H4)),"dd/mm/yyyy"),", ",Constants!$T$6,TEXT(DATE(YEAR(H4)-(($I4/12)-8),MONTH(H4),DAY(H4)),"dd/mm/yyyy"),", ",Constants!$V$6,TEXT(DATE(YEAR(H4)-(($I4/12)-9),MONTH(H4),DAY(H4)),"dd/mm/yyyy"),", ",Constants!$W$6,TEXT($H4,"dd/mm/yyyy")),IF(($I4/12)=5,_xlfn.CONCAT(Constants!$N$5,TEXT(DATE(YEAR(H4)-(($I4/12)-1),MONTH(H4),DAY(H4)),"dd/mm/yyyy"),", ",Constants!$O$5,TEXT(DATE(YEAR(H4)-(($I4/12)-2),MONTH(H4),DAY(H4)),"dd/mm/yyyy"),", ",Constants!$P$5,TEXT(DATE(YEAR(H4)-(($I4/12)-3),MONTH(H4),DAY(H4)),"dd/mm/yyyy"),", ",Constants!$Q$5,TEXT(DATE(YEAR(H4)-(($I4/12)-4),MONTH(H4),DAY(H4)),"dd/mm/yyyy"),", ",Constants!$R$5,TEXT($H4,"dd/mm/yyyy")),IF(($I4/12)=3,_xlfn.CONCAT(Constants!$N$4,TEXT(DATE(YEAR(H4)-(($I4/12)-1),MONTH(H4),DAY(H4)),"dd/mm/yyyy"),", ",Constants!$O$4,TEXT(DATE(YEAR(H4)-(($I4/12)-2),MONTH(H4),DAY(H4)),"dd/mm/yyyy"),", ",Constants!$P$4,TEXT($H4,"dd/mm/yyyy")),IF(($I4/12)=2,_xlfn.CONCAT(Constants!$N$3,TEXT(DATE(YEAR(H4)-(($I4/12)-1),MONTH(H4),DAY(H4)),"dd/mm/yyyy"),", ",Constants!$O$3,TEXT($H4,"dd/mm/yyyy")),IF(($I4/12)=1,_xlfn.CONCAT(Constants!$N$2,TEXT($H4,"dd/mm/yyyy")),"Update Constants"))))))),"")</f>
        <v>2.5% to 31/01/2026, 1.5% to 31/01/2027</v>
      </c>
      <c r="BC4" s="147">
        <f>_xlfn.IFNA(VALUE(INDEX(Producer!$K:$K,MATCH($D4,Producer!$A:$A,0))),"")</f>
        <v>0</v>
      </c>
      <c r="BD4" s="147" t="str">
        <f>_xlfn.IFNA(INDEX(Producer!$I:$I,MATCH($D4,Producer!$A:$A,0)),"")</f>
        <v>No</v>
      </c>
      <c r="BE4" s="147" t="str">
        <f t="shared" si="8"/>
        <v>Yes</v>
      </c>
      <c r="BF4" s="147"/>
      <c r="BG4" s="147"/>
      <c r="BH4" s="151">
        <f>_xlfn.IFNA(INDEX(Constants!$B:$B,MATCH(BC4,Constants!A:A,0)),"")</f>
        <v>0</v>
      </c>
      <c r="BI4" s="147">
        <f>IF(LEFT(B4,15)="Limited Company",Constants!$D$16,IFERROR(_xlfn.IFNA(IF(C4="Residential",IF(BK4&lt;75,INDEX(Constants!$B:$B,MATCH(VALUE(60)/100,Constants!$A:$A,0)),INDEX(Constants!$B:$B,MATCH(VALUE(BK4)/100,Constants!$A:$A,0))),IF(BK4&lt;60,INDEX(Constants!$C:$C,MATCH(VALUE(60)/100,Constants!$A:$A,0)),INDEX(Constants!$C:$C,MATCH(VALUE(BK4)/100,Constants!$A:$A,0)))),""),""))</f>
        <v>2000000</v>
      </c>
      <c r="BJ4" s="147">
        <f t="shared" si="9"/>
        <v>0</v>
      </c>
      <c r="BK4" s="147">
        <f>_xlfn.IFNA(VALUE(INDEX(Producer!$E:$E,MATCH($D4,Producer!$A:$A,0)))*100,"")</f>
        <v>65</v>
      </c>
      <c r="BL4" s="146" t="str">
        <f>_xlfn.IFNA(IF(IFERROR(FIND("Part &amp; Part",B4),-10)&gt;0,"PP",IF(OR(LEFT(B4,25)="Residential Interest Only",INDEX(Producer!$P:$P,MATCH($D4,Producer!$A:$A,0))="IO",INDEX(Producer!$P:$P,MATCH($D4,Producer!$A:$A,0))="Retirement Interest Only"),"IO",IF($C4="BuyToLet","CI, IO","CI"))),"")</f>
        <v>CI</v>
      </c>
      <c r="BM4" s="152" t="str">
        <f>_xlfn.IFNA(IF(BL4="IO",100%,IF(AND(INDEX(Producer!$P:$P,MATCH($D4,Producer!$A:$A,0))="Residential Interest Only Part &amp; Part",BK4=75),80%,IF(C4="BuyToLet",100%,IF(BL4="Interest Only",100%,IF(AND(INDEX(Producer!$P:$P,MATCH($D4,Producer!$A:$A,0))="Residential Interest Only Part &amp; Part",BK4=60),100%,""))))),"")</f>
        <v/>
      </c>
      <c r="BN4" s="218" t="str">
        <f>_xlfn.IFNA(IF(VALUE(INDEX(Producer!$H:$H,MATCH($D4,Producer!$A:$A,0)))=0,"",VALUE(INDEX(Producer!$H:$H,MATCH($D4,Producer!$A:$A,0)))),"")</f>
        <v/>
      </c>
      <c r="BO4" s="153"/>
      <c r="BP4" s="153"/>
      <c r="BQ4" s="219">
        <f t="shared" si="10"/>
        <v>35</v>
      </c>
      <c r="BR4" s="146"/>
      <c r="BS4" s="146"/>
      <c r="BT4" s="146"/>
      <c r="BU4" s="146"/>
      <c r="BV4" s="219">
        <f t="shared" si="11"/>
        <v>199</v>
      </c>
      <c r="BW4" s="146"/>
      <c r="BX4" s="146"/>
      <c r="BY4" s="146" t="str">
        <f t="shared" si="12"/>
        <v>No</v>
      </c>
      <c r="BZ4" s="146" t="str">
        <f t="shared" si="13"/>
        <v>No</v>
      </c>
      <c r="CA4" s="146" t="str">
        <f t="shared" si="14"/>
        <v>No</v>
      </c>
      <c r="CB4" s="146" t="str">
        <f t="shared" si="15"/>
        <v>No</v>
      </c>
      <c r="CC4" s="146" t="str">
        <f>_xlfn.IFNA(IF(INDEX(Producer!$P:$P,MATCH($D4,Producer!$A:$A,0))="Help to Buy","Only available","No"),"")</f>
        <v>No</v>
      </c>
      <c r="CD4" s="146" t="str">
        <f>_xlfn.IFNA(IF(INDEX(Producer!$P:$P,MATCH($D4,Producer!$A:$A,0))="Shared Ownership","Only available","No"),"")</f>
        <v>No</v>
      </c>
      <c r="CE4" s="146" t="str">
        <f>_xlfn.IFNA(IF(INDEX(Producer!$P:$P,MATCH($D4,Producer!$A:$A,0))="Right to Buy","Only available","No"),"")</f>
        <v>No</v>
      </c>
      <c r="CF4" s="146" t="str">
        <f t="shared" si="16"/>
        <v>No</v>
      </c>
      <c r="CG4" s="146" t="str">
        <f>_xlfn.IFNA(IF(INDEX(Producer!$P:$P,MATCH($D4,Producer!$A:$A,0))="Retirement Interest Only","Only available","No"),"")</f>
        <v>No</v>
      </c>
      <c r="CH4" s="146" t="str">
        <f t="shared" si="17"/>
        <v>No</v>
      </c>
      <c r="CI4" s="146" t="str">
        <f>_xlfn.IFNA(IF(INDEX(Producer!$P:$P,MATCH($D4,Producer!$A:$A,0))="Intermediary Holiday Let","Only available","No"),"")</f>
        <v>No</v>
      </c>
      <c r="CJ4" s="146" t="str">
        <f t="shared" si="18"/>
        <v>No</v>
      </c>
      <c r="CK4" s="146" t="str">
        <f>_xlfn.IFNA(IF(OR(INDEX(Producer!$P:$P,MATCH($D4,Producer!$A:$A,0))="Intermediary Small HMO",INDEX(Producer!$P:$P,MATCH($D4,Producer!$A:$A,0))="Intermediary Large HMO"),"Only available","No"),"")</f>
        <v>No</v>
      </c>
      <c r="CL4" s="146" t="str">
        <f t="shared" si="19"/>
        <v>No</v>
      </c>
      <c r="CM4" s="146" t="str">
        <f t="shared" si="20"/>
        <v>No</v>
      </c>
      <c r="CN4" s="146" t="str">
        <f t="shared" si="21"/>
        <v>No</v>
      </c>
      <c r="CO4" s="146" t="str">
        <f t="shared" si="22"/>
        <v>Also available</v>
      </c>
      <c r="CP4" s="146" t="str">
        <f t="shared" si="23"/>
        <v>No</v>
      </c>
      <c r="CQ4" s="146" t="str">
        <f t="shared" si="24"/>
        <v>No</v>
      </c>
      <c r="CR4" s="146" t="str">
        <f t="shared" si="25"/>
        <v>Also available</v>
      </c>
      <c r="CS4" s="146" t="str">
        <f t="shared" si="26"/>
        <v>Only available</v>
      </c>
      <c r="CT4" s="146" t="str">
        <f t="shared" si="27"/>
        <v>No</v>
      </c>
      <c r="CU4" s="146"/>
    </row>
    <row r="5" spans="1:99" ht="16.399999999999999" customHeight="1" x14ac:dyDescent="0.35">
      <c r="A5" s="145" t="str">
        <f t="shared" si="0"/>
        <v>Leeds Building Society</v>
      </c>
      <c r="B5" s="145" t="str">
        <f>_xlfn.IFNA(_xlfn.CONCAT(INDEX(Producer!$P:$P,MATCH($D5,Producer!$A:$A,0))," ",IF(INDEX(Producer!$N:$N,MATCH($D5,Producer!$A:$A,0))="Yes","Green ",""),IF(AND(INDEX(Producer!$L:$L,MATCH($D5,Producer!$A:$A,0))="No",INDEX(Producer!$C:$C,MATCH($D5,Producer!$A:$A,0))="Fixed"),"Flexit ",""),INDEX(Producer!$B:$B,MATCH($D5,Producer!$A:$A,0))," Year ",INDEX(Producer!$C:$C,MATCH($D5,Producer!$A:$A,0))," ",VALUE(INDEX(Producer!$E:$E,MATCH($D5,Producer!$A:$A,0)))*100,"% LTV",IF(INDEX(Producer!$N:$N,MATCH($D5,Producer!$A:$A,0))="Yes"," (EPC A-C)","")," - ",IF(INDEX(Producer!$D:$D,MATCH($D5,Producer!$A:$A,0))="DLY","Daily","Annual")),"")</f>
        <v>Residential 2 Year Fixed 75% LTV - Daily</v>
      </c>
      <c r="C5" s="146" t="str">
        <f>_xlfn.IFNA(INDEX(Producer!$Q:$Q,MATCH($D5,Producer!$A:$A,0)),"")</f>
        <v>Residential</v>
      </c>
      <c r="D5" s="146">
        <f>IFERROR(VALUE(MID(Producer!$R$2,IF($D4="",1/0,FIND(_xlfn.CONCAT($D3,$D4),Producer!$R$2)+10),5)),"")</f>
        <v>54338</v>
      </c>
      <c r="E5" s="146" t="str">
        <f t="shared" si="1"/>
        <v>Stepped Fixed</v>
      </c>
      <c r="F5" s="146"/>
      <c r="G5" s="147">
        <f>_xlfn.IFNA(VALUE(INDEX(Producer!$F:$F,MATCH($D5,Producer!$A:$A,0)))*100,"")</f>
        <v>4.25</v>
      </c>
      <c r="H5" s="216">
        <f>_xlfn.IFNA(IFERROR(DATEVALUE(INDEX(Producer!$M:$M,MATCH($D5,Producer!$A:$A,0))),(INDEX(Producer!$M:$M,MATCH($D5,Producer!$A:$A,0)))),"")</f>
        <v>46418</v>
      </c>
      <c r="I5" s="217">
        <f>_xlfn.IFNA(VALUE(INDEX(Producer!$B:$B,MATCH($D5,Producer!$A:$A,0)))*12,"")</f>
        <v>24</v>
      </c>
      <c r="J5" s="146">
        <f>_xlfn.IFNA(IF(C5="Residential",IF(VALUE(INDEX(Producer!$B:$B,MATCH($D5,Producer!$A:$A,0)))&lt;5,Constants!$C$10,""),IF(VALUE(INDEX(Producer!$B:$B,MATCH($D5,Producer!$A:$A,0)))&lt;5,Constants!$C$11,"")),"")</f>
        <v>7.49</v>
      </c>
      <c r="K5" s="216">
        <f>_xlfn.IFNA(IF(($I5)&lt;60,DATE(YEAR(H5)+(5-VALUE(INDEX(Producer!$B:$B,MATCH($D5,Producer!$A:$A,0)))),MONTH(H5),DAY(H5)),""),"")</f>
        <v>47514</v>
      </c>
      <c r="L5" s="153">
        <f t="shared" si="2"/>
        <v>36</v>
      </c>
      <c r="M5" s="146"/>
      <c r="N5" s="148"/>
      <c r="O5" s="148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>
        <f>IF(D5="","",IF(C5="Residential",Constants!$B$10,Constants!$B$11))</f>
        <v>8.24</v>
      </c>
      <c r="AL5" s="146" t="str">
        <f t="shared" si="3"/>
        <v>SVR</v>
      </c>
      <c r="AM5" s="206" t="str">
        <f t="shared" si="4"/>
        <v/>
      </c>
      <c r="AN5" s="146">
        <f t="shared" si="5"/>
        <v>10</v>
      </c>
      <c r="AO5" s="149" t="str">
        <f t="shared" si="6"/>
        <v>Remortgage</v>
      </c>
      <c r="AP5" s="150" t="str">
        <f t="shared" si="7"/>
        <v>ProductTransfer</v>
      </c>
      <c r="AQ5" s="146">
        <f>IFERROR(_xlfn.IFNA(IF($BA5="No",0,IF(INDEX(Constants!B:B,MATCH(($I5/12),Constants!$A:$A,0))=0,0,INDEX(Constants!B:B,MATCH(($I5/12),Constants!$A:$A,0)))),0),"")</f>
        <v>2.5</v>
      </c>
      <c r="AR5" s="146">
        <f>IFERROR(_xlfn.IFNA(IF($BA5="No",0,IF(INDEX(Constants!C:C,MATCH(($I5/12),Constants!$A:$A,0))=0,0,INDEX(Constants!C:C,MATCH(($I5/12),Constants!$A:$A,0)))),0),"")</f>
        <v>1.5</v>
      </c>
      <c r="AS5" s="146">
        <f>IFERROR(_xlfn.IFNA(IF($BA5="No",0,IF(INDEX(Constants!D:D,MATCH(($I5/12),Constants!$A:$A,0))=0,0,INDEX(Constants!D:D,MATCH(($I5/12),Constants!$A:$A,0)))),0),"")</f>
        <v>0</v>
      </c>
      <c r="AT5" s="146">
        <f>IFERROR(_xlfn.IFNA(IF($BA5="No",0,IF(INDEX(Constants!E:E,MATCH(($I5/12),Constants!$A:$A,0))=0,0,INDEX(Constants!E:E,MATCH(($I5/12),Constants!$A:$A,0)))),0),"")</f>
        <v>0</v>
      </c>
      <c r="AU5" s="146">
        <f>IFERROR(_xlfn.IFNA(IF($BA5="No",0,IF(INDEX(Constants!F:F,MATCH(($I5/12),Constants!$A:$A,0))=0,0,INDEX(Constants!F:F,MATCH(($I5/12),Constants!$A:$A,0)))),0),"")</f>
        <v>0</v>
      </c>
      <c r="AV5" s="146">
        <f>IFERROR(_xlfn.IFNA(IF($BA5="No",0,IF(INDEX(Constants!G:G,MATCH(($I5/12),Constants!$A:$A,0))=0,0,INDEX(Constants!G:G,MATCH(($I5/12),Constants!$A:$A,0)))),0),"")</f>
        <v>0</v>
      </c>
      <c r="AW5" s="146">
        <f>IFERROR(_xlfn.IFNA(IF($BA5="No",0,IF(INDEX(Constants!H:H,MATCH(($I5/12),Constants!$A:$A,0))=0,0,INDEX(Constants!H:H,MATCH(($I5/12),Constants!$A:$A,0)))),0),"")</f>
        <v>0</v>
      </c>
      <c r="AX5" s="146">
        <f>IFERROR(_xlfn.IFNA(IF($BA5="No",0,IF(INDEX(Constants!I:I,MATCH(($I5/12),Constants!$A:$A,0))=0,0,INDEX(Constants!I:I,MATCH(($I5/12),Constants!$A:$A,0)))),0),"")</f>
        <v>0</v>
      </c>
      <c r="AY5" s="146">
        <f>IFERROR(_xlfn.IFNA(IF($BA5="No",0,IF(INDEX(Constants!J:J,MATCH(($I5/12),Constants!$A:$A,0))=0,0,INDEX(Constants!J:J,MATCH(($I5/12),Constants!$A:$A,0)))),0),"")</f>
        <v>0</v>
      </c>
      <c r="AZ5" s="146">
        <f>IFERROR(_xlfn.IFNA(IF($BA5="No",0,IF(INDEX(Constants!K:K,MATCH(($I5/12),Constants!$A:$A,0))=0,0,INDEX(Constants!K:K,MATCH(($I5/12),Constants!$A:$A,0)))),0),"")</f>
        <v>0</v>
      </c>
      <c r="BA5" s="147" t="str">
        <f>_xlfn.IFNA(INDEX(Producer!$L:$L,MATCH($D5,Producer!$A:$A,0)),"")</f>
        <v>Yes</v>
      </c>
      <c r="BB5" s="146" t="str">
        <f>IFERROR(IF(AQ5=0,"",IF(($I5/12)=15,_xlfn.CONCAT(Constants!$N$7,TEXT(DATE(YEAR(H5)-(($I5/12)-3),MONTH(H5),DAY(H5)),"dd/mm/yyyy"),", ",Constants!$P$7,TEXT(DATE(YEAR(H5)-(($I5/12)-8),MONTH(H5),DAY(H5)),"dd/mm/yyyy"),", ",Constants!$T$7,TEXT(DATE(YEAR(H5)-(($I5/12)-11),MONTH(H5),DAY(H5)),"dd/mm/yyyy"),", ",Constants!$V$7,TEXT(DATE(YEAR(H5)-(($I5/12)-13),MONTH(H5),DAY(H5)),"dd/mm/yyyy"),", ",Constants!$W$7,TEXT($H5,"dd/mm/yyyy")),IF(($I5/12)=10,_xlfn.CONCAT(Constants!$N$6,TEXT(DATE(YEAR(H5)-(($I5/12)-2),MONTH(H5),DAY(H5)),"dd/mm/yyyy"),", ",Constants!$P$6,TEXT(DATE(YEAR(H5)-(($I5/12)-6),MONTH(H5),DAY(H5)),"dd/mm/yyyy"),", ",Constants!$T$6,TEXT(DATE(YEAR(H5)-(($I5/12)-8),MONTH(H5),DAY(H5)),"dd/mm/yyyy"),", ",Constants!$V$6,TEXT(DATE(YEAR(H5)-(($I5/12)-9),MONTH(H5),DAY(H5)),"dd/mm/yyyy"),", ",Constants!$W$6,TEXT($H5,"dd/mm/yyyy")),IF(($I5/12)=5,_xlfn.CONCAT(Constants!$N$5,TEXT(DATE(YEAR(H5)-(($I5/12)-1),MONTH(H5),DAY(H5)),"dd/mm/yyyy"),", ",Constants!$O$5,TEXT(DATE(YEAR(H5)-(($I5/12)-2),MONTH(H5),DAY(H5)),"dd/mm/yyyy"),", ",Constants!$P$5,TEXT(DATE(YEAR(H5)-(($I5/12)-3),MONTH(H5),DAY(H5)),"dd/mm/yyyy"),", ",Constants!$Q$5,TEXT(DATE(YEAR(H5)-(($I5/12)-4),MONTH(H5),DAY(H5)),"dd/mm/yyyy"),", ",Constants!$R$5,TEXT($H5,"dd/mm/yyyy")),IF(($I5/12)=3,_xlfn.CONCAT(Constants!$N$4,TEXT(DATE(YEAR(H5)-(($I5/12)-1),MONTH(H5),DAY(H5)),"dd/mm/yyyy"),", ",Constants!$O$4,TEXT(DATE(YEAR(H5)-(($I5/12)-2),MONTH(H5),DAY(H5)),"dd/mm/yyyy"),", ",Constants!$P$4,TEXT($H5,"dd/mm/yyyy")),IF(($I5/12)=2,_xlfn.CONCAT(Constants!$N$3,TEXT(DATE(YEAR(H5)-(($I5/12)-1),MONTH(H5),DAY(H5)),"dd/mm/yyyy"),", ",Constants!$O$3,TEXT($H5,"dd/mm/yyyy")),IF(($I5/12)=1,_xlfn.CONCAT(Constants!$N$2,TEXT($H5,"dd/mm/yyyy")),"Update Constants"))))))),"")</f>
        <v>2.5% to 31/01/2026, 1.5% to 31/01/2027</v>
      </c>
      <c r="BC5" s="147">
        <f>_xlfn.IFNA(VALUE(INDEX(Producer!$K:$K,MATCH($D5,Producer!$A:$A,0))),"")</f>
        <v>0</v>
      </c>
      <c r="BD5" s="147" t="str">
        <f>_xlfn.IFNA(INDEX(Producer!$I:$I,MATCH($D5,Producer!$A:$A,0)),"")</f>
        <v>No</v>
      </c>
      <c r="BE5" s="147" t="str">
        <f t="shared" si="8"/>
        <v>Yes</v>
      </c>
      <c r="BF5" s="147"/>
      <c r="BG5" s="147"/>
      <c r="BH5" s="151">
        <f>_xlfn.IFNA(INDEX(Constants!$B:$B,MATCH(BC5,Constants!A:A,0)),"")</f>
        <v>0</v>
      </c>
      <c r="BI5" s="147">
        <f>IF(LEFT(B5,15)="Limited Company",Constants!$D$16,IFERROR(_xlfn.IFNA(IF(C5="Residential",IF(BK5&lt;75,INDEX(Constants!$B:$B,MATCH(VALUE(60)/100,Constants!$A:$A,0)),INDEX(Constants!$B:$B,MATCH(VALUE(BK5)/100,Constants!$A:$A,0))),IF(BK5&lt;60,INDEX(Constants!$C:$C,MATCH(VALUE(60)/100,Constants!$A:$A,0)),INDEX(Constants!$C:$C,MATCH(VALUE(BK5)/100,Constants!$A:$A,0)))),""),""))</f>
        <v>2000000</v>
      </c>
      <c r="BJ5" s="147">
        <f t="shared" si="9"/>
        <v>0</v>
      </c>
      <c r="BK5" s="147">
        <f>_xlfn.IFNA(VALUE(INDEX(Producer!$E:$E,MATCH($D5,Producer!$A:$A,0)))*100,"")</f>
        <v>75</v>
      </c>
      <c r="BL5" s="146" t="str">
        <f>_xlfn.IFNA(IF(IFERROR(FIND("Part &amp; Part",B5),-10)&gt;0,"PP",IF(OR(LEFT(B5,25)="Residential Interest Only",INDEX(Producer!$P:$P,MATCH($D5,Producer!$A:$A,0))="IO",INDEX(Producer!$P:$P,MATCH($D5,Producer!$A:$A,0))="Retirement Interest Only"),"IO",IF($C5="BuyToLet","CI, IO","CI"))),"")</f>
        <v>CI</v>
      </c>
      <c r="BM5" s="152" t="str">
        <f>_xlfn.IFNA(IF(BL5="IO",100%,IF(AND(INDEX(Producer!$P:$P,MATCH($D5,Producer!$A:$A,0))="Residential Interest Only Part &amp; Part",BK5=75),80%,IF(C5="BuyToLet",100%,IF(BL5="Interest Only",100%,IF(AND(INDEX(Producer!$P:$P,MATCH($D5,Producer!$A:$A,0))="Residential Interest Only Part &amp; Part",BK5=60),100%,""))))),"")</f>
        <v/>
      </c>
      <c r="BN5" s="218">
        <f>_xlfn.IFNA(IF(VALUE(INDEX(Producer!$H:$H,MATCH($D5,Producer!$A:$A,0)))=0,"",VALUE(INDEX(Producer!$H:$H,MATCH($D5,Producer!$A:$A,0)))),"")</f>
        <v>1599</v>
      </c>
      <c r="BO5" s="153"/>
      <c r="BP5" s="153"/>
      <c r="BQ5" s="219">
        <f t="shared" si="10"/>
        <v>35</v>
      </c>
      <c r="BR5" s="146"/>
      <c r="BS5" s="146"/>
      <c r="BT5" s="146"/>
      <c r="BU5" s="146"/>
      <c r="BV5" s="219">
        <f t="shared" si="11"/>
        <v>199</v>
      </c>
      <c r="BW5" s="146"/>
      <c r="BX5" s="146"/>
      <c r="BY5" s="146" t="str">
        <f t="shared" si="12"/>
        <v>No</v>
      </c>
      <c r="BZ5" s="146" t="str">
        <f t="shared" si="13"/>
        <v>No</v>
      </c>
      <c r="CA5" s="146" t="str">
        <f t="shared" si="14"/>
        <v>No</v>
      </c>
      <c r="CB5" s="146" t="str">
        <f t="shared" si="15"/>
        <v>No</v>
      </c>
      <c r="CC5" s="146" t="str">
        <f>_xlfn.IFNA(IF(INDEX(Producer!$P:$P,MATCH($D5,Producer!$A:$A,0))="Help to Buy","Only available","No"),"")</f>
        <v>No</v>
      </c>
      <c r="CD5" s="146" t="str">
        <f>_xlfn.IFNA(IF(INDEX(Producer!$P:$P,MATCH($D5,Producer!$A:$A,0))="Shared Ownership","Only available","No"),"")</f>
        <v>No</v>
      </c>
      <c r="CE5" s="146" t="str">
        <f>_xlfn.IFNA(IF(INDEX(Producer!$P:$P,MATCH($D5,Producer!$A:$A,0))="Right to Buy","Only available","No"),"")</f>
        <v>No</v>
      </c>
      <c r="CF5" s="146" t="str">
        <f t="shared" si="16"/>
        <v>No</v>
      </c>
      <c r="CG5" s="146" t="str">
        <f>_xlfn.IFNA(IF(INDEX(Producer!$P:$P,MATCH($D5,Producer!$A:$A,0))="Retirement Interest Only","Only available","No"),"")</f>
        <v>No</v>
      </c>
      <c r="CH5" s="146" t="str">
        <f t="shared" si="17"/>
        <v>No</v>
      </c>
      <c r="CI5" s="146" t="str">
        <f>_xlfn.IFNA(IF(INDEX(Producer!$P:$P,MATCH($D5,Producer!$A:$A,0))="Intermediary Holiday Let","Only available","No"),"")</f>
        <v>No</v>
      </c>
      <c r="CJ5" s="146" t="str">
        <f t="shared" si="18"/>
        <v>No</v>
      </c>
      <c r="CK5" s="146" t="str">
        <f>_xlfn.IFNA(IF(OR(INDEX(Producer!$P:$P,MATCH($D5,Producer!$A:$A,0))="Intermediary Small HMO",INDEX(Producer!$P:$P,MATCH($D5,Producer!$A:$A,0))="Intermediary Large HMO"),"Only available","No"),"")</f>
        <v>No</v>
      </c>
      <c r="CL5" s="146" t="str">
        <f t="shared" si="19"/>
        <v>No</v>
      </c>
      <c r="CM5" s="146" t="str">
        <f t="shared" si="20"/>
        <v>No</v>
      </c>
      <c r="CN5" s="146" t="str">
        <f t="shared" si="21"/>
        <v>No</v>
      </c>
      <c r="CO5" s="146" t="str">
        <f t="shared" si="22"/>
        <v>Also available</v>
      </c>
      <c r="CP5" s="146" t="str">
        <f t="shared" si="23"/>
        <v>No</v>
      </c>
      <c r="CQ5" s="146" t="str">
        <f t="shared" si="24"/>
        <v>No</v>
      </c>
      <c r="CR5" s="146" t="str">
        <f t="shared" si="25"/>
        <v>Also available</v>
      </c>
      <c r="CS5" s="146" t="str">
        <f t="shared" si="26"/>
        <v>Only available</v>
      </c>
      <c r="CT5" s="146" t="str">
        <f t="shared" si="27"/>
        <v>No</v>
      </c>
      <c r="CU5" s="146"/>
    </row>
    <row r="6" spans="1:99" ht="16.399999999999999" customHeight="1" x14ac:dyDescent="0.35">
      <c r="A6" s="145" t="str">
        <f t="shared" si="0"/>
        <v>Leeds Building Society</v>
      </c>
      <c r="B6" s="145" t="str">
        <f>_xlfn.IFNA(_xlfn.CONCAT(INDEX(Producer!$P:$P,MATCH($D6,Producer!$A:$A,0))," ",IF(INDEX(Producer!$N:$N,MATCH($D6,Producer!$A:$A,0))="Yes","Green ",""),IF(AND(INDEX(Producer!$L:$L,MATCH($D6,Producer!$A:$A,0))="No",INDEX(Producer!$C:$C,MATCH($D6,Producer!$A:$A,0))="Fixed"),"Flexit ",""),INDEX(Producer!$B:$B,MATCH($D6,Producer!$A:$A,0))," Year ",INDEX(Producer!$C:$C,MATCH($D6,Producer!$A:$A,0))," ",VALUE(INDEX(Producer!$E:$E,MATCH($D6,Producer!$A:$A,0)))*100,"% LTV",IF(INDEX(Producer!$N:$N,MATCH($D6,Producer!$A:$A,0))="Yes"," (EPC A-C)","")," - ",IF(INDEX(Producer!$D:$D,MATCH($D6,Producer!$A:$A,0))="DLY","Daily","Annual")),"")</f>
        <v>Residential 2 Year Fixed 75% LTV - Daily</v>
      </c>
      <c r="C6" s="146" t="str">
        <f>_xlfn.IFNA(INDEX(Producer!$Q:$Q,MATCH($D6,Producer!$A:$A,0)),"")</f>
        <v>Residential</v>
      </c>
      <c r="D6" s="146">
        <f>IFERROR(VALUE(MID(Producer!$R$2,IF($D5="",1/0,FIND(_xlfn.CONCAT($D4,$D5),Producer!$R$2)+10),5)),"")</f>
        <v>54340</v>
      </c>
      <c r="E6" s="146" t="str">
        <f t="shared" si="1"/>
        <v>Stepped Fixed</v>
      </c>
      <c r="F6" s="146"/>
      <c r="G6" s="147">
        <f>_xlfn.IFNA(VALUE(INDEX(Producer!$F:$F,MATCH($D6,Producer!$A:$A,0)))*100,"")</f>
        <v>4.43</v>
      </c>
      <c r="H6" s="216">
        <f>_xlfn.IFNA(IFERROR(DATEVALUE(INDEX(Producer!$M:$M,MATCH($D6,Producer!$A:$A,0))),(INDEX(Producer!$M:$M,MATCH($D6,Producer!$A:$A,0)))),"")</f>
        <v>46418</v>
      </c>
      <c r="I6" s="217">
        <f>_xlfn.IFNA(VALUE(INDEX(Producer!$B:$B,MATCH($D6,Producer!$A:$A,0)))*12,"")</f>
        <v>24</v>
      </c>
      <c r="J6" s="146">
        <f>_xlfn.IFNA(IF(C6="Residential",IF(VALUE(INDEX(Producer!$B:$B,MATCH($D6,Producer!$A:$A,0)))&lt;5,Constants!$C$10,""),IF(VALUE(INDEX(Producer!$B:$B,MATCH($D6,Producer!$A:$A,0)))&lt;5,Constants!$C$11,"")),"")</f>
        <v>7.49</v>
      </c>
      <c r="K6" s="216">
        <f>_xlfn.IFNA(IF(($I6)&lt;60,DATE(YEAR(H6)+(5-VALUE(INDEX(Producer!$B:$B,MATCH($D6,Producer!$A:$A,0)))),MONTH(H6),DAY(H6)),""),"")</f>
        <v>47514</v>
      </c>
      <c r="L6" s="153">
        <f t="shared" si="2"/>
        <v>36</v>
      </c>
      <c r="M6" s="146"/>
      <c r="N6" s="148"/>
      <c r="O6" s="148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>
        <f>IF(D6="","",IF(C6="Residential",Constants!$B$10,Constants!$B$11))</f>
        <v>8.24</v>
      </c>
      <c r="AL6" s="146" t="str">
        <f t="shared" si="3"/>
        <v>SVR</v>
      </c>
      <c r="AM6" s="206" t="str">
        <f t="shared" si="4"/>
        <v/>
      </c>
      <c r="AN6" s="146">
        <f t="shared" si="5"/>
        <v>10</v>
      </c>
      <c r="AO6" s="149" t="str">
        <f t="shared" si="6"/>
        <v>Remortgage</v>
      </c>
      <c r="AP6" s="150" t="str">
        <f t="shared" si="7"/>
        <v>ProductTransfer</v>
      </c>
      <c r="AQ6" s="146">
        <f>IFERROR(_xlfn.IFNA(IF($BA6="No",0,IF(INDEX(Constants!B:B,MATCH(($I6/12),Constants!$A:$A,0))=0,0,INDEX(Constants!B:B,MATCH(($I6/12),Constants!$A:$A,0)))),0),"")</f>
        <v>2.5</v>
      </c>
      <c r="AR6" s="146">
        <f>IFERROR(_xlfn.IFNA(IF($BA6="No",0,IF(INDEX(Constants!C:C,MATCH(($I6/12),Constants!$A:$A,0))=0,0,INDEX(Constants!C:C,MATCH(($I6/12),Constants!$A:$A,0)))),0),"")</f>
        <v>1.5</v>
      </c>
      <c r="AS6" s="146">
        <f>IFERROR(_xlfn.IFNA(IF($BA6="No",0,IF(INDEX(Constants!D:D,MATCH(($I6/12),Constants!$A:$A,0))=0,0,INDEX(Constants!D:D,MATCH(($I6/12),Constants!$A:$A,0)))),0),"")</f>
        <v>0</v>
      </c>
      <c r="AT6" s="146">
        <f>IFERROR(_xlfn.IFNA(IF($BA6="No",0,IF(INDEX(Constants!E:E,MATCH(($I6/12),Constants!$A:$A,0))=0,0,INDEX(Constants!E:E,MATCH(($I6/12),Constants!$A:$A,0)))),0),"")</f>
        <v>0</v>
      </c>
      <c r="AU6" s="146">
        <f>IFERROR(_xlfn.IFNA(IF($BA6="No",0,IF(INDEX(Constants!F:F,MATCH(($I6/12),Constants!$A:$A,0))=0,0,INDEX(Constants!F:F,MATCH(($I6/12),Constants!$A:$A,0)))),0),"")</f>
        <v>0</v>
      </c>
      <c r="AV6" s="146">
        <f>IFERROR(_xlfn.IFNA(IF($BA6="No",0,IF(INDEX(Constants!G:G,MATCH(($I6/12),Constants!$A:$A,0))=0,0,INDEX(Constants!G:G,MATCH(($I6/12),Constants!$A:$A,0)))),0),"")</f>
        <v>0</v>
      </c>
      <c r="AW6" s="146">
        <f>IFERROR(_xlfn.IFNA(IF($BA6="No",0,IF(INDEX(Constants!H:H,MATCH(($I6/12),Constants!$A:$A,0))=0,0,INDEX(Constants!H:H,MATCH(($I6/12),Constants!$A:$A,0)))),0),"")</f>
        <v>0</v>
      </c>
      <c r="AX6" s="146">
        <f>IFERROR(_xlfn.IFNA(IF($BA6="No",0,IF(INDEX(Constants!I:I,MATCH(($I6/12),Constants!$A:$A,0))=0,0,INDEX(Constants!I:I,MATCH(($I6/12),Constants!$A:$A,0)))),0),"")</f>
        <v>0</v>
      </c>
      <c r="AY6" s="146">
        <f>IFERROR(_xlfn.IFNA(IF($BA6="No",0,IF(INDEX(Constants!J:J,MATCH(($I6/12),Constants!$A:$A,0))=0,0,INDEX(Constants!J:J,MATCH(($I6/12),Constants!$A:$A,0)))),0),"")</f>
        <v>0</v>
      </c>
      <c r="AZ6" s="146">
        <f>IFERROR(_xlfn.IFNA(IF($BA6="No",0,IF(INDEX(Constants!K:K,MATCH(($I6/12),Constants!$A:$A,0))=0,0,INDEX(Constants!K:K,MATCH(($I6/12),Constants!$A:$A,0)))),0),"")</f>
        <v>0</v>
      </c>
      <c r="BA6" s="147" t="str">
        <f>_xlfn.IFNA(INDEX(Producer!$L:$L,MATCH($D6,Producer!$A:$A,0)),"")</f>
        <v>Yes</v>
      </c>
      <c r="BB6" s="146" t="str">
        <f>IFERROR(IF(AQ6=0,"",IF(($I6/12)=15,_xlfn.CONCAT(Constants!$N$7,TEXT(DATE(YEAR(H6)-(($I6/12)-3),MONTH(H6),DAY(H6)),"dd/mm/yyyy"),", ",Constants!$P$7,TEXT(DATE(YEAR(H6)-(($I6/12)-8),MONTH(H6),DAY(H6)),"dd/mm/yyyy"),", ",Constants!$T$7,TEXT(DATE(YEAR(H6)-(($I6/12)-11),MONTH(H6),DAY(H6)),"dd/mm/yyyy"),", ",Constants!$V$7,TEXT(DATE(YEAR(H6)-(($I6/12)-13),MONTH(H6),DAY(H6)),"dd/mm/yyyy"),", ",Constants!$W$7,TEXT($H6,"dd/mm/yyyy")),IF(($I6/12)=10,_xlfn.CONCAT(Constants!$N$6,TEXT(DATE(YEAR(H6)-(($I6/12)-2),MONTH(H6),DAY(H6)),"dd/mm/yyyy"),", ",Constants!$P$6,TEXT(DATE(YEAR(H6)-(($I6/12)-6),MONTH(H6),DAY(H6)),"dd/mm/yyyy"),", ",Constants!$T$6,TEXT(DATE(YEAR(H6)-(($I6/12)-8),MONTH(H6),DAY(H6)),"dd/mm/yyyy"),", ",Constants!$V$6,TEXT(DATE(YEAR(H6)-(($I6/12)-9),MONTH(H6),DAY(H6)),"dd/mm/yyyy"),", ",Constants!$W$6,TEXT($H6,"dd/mm/yyyy")),IF(($I6/12)=5,_xlfn.CONCAT(Constants!$N$5,TEXT(DATE(YEAR(H6)-(($I6/12)-1),MONTH(H6),DAY(H6)),"dd/mm/yyyy"),", ",Constants!$O$5,TEXT(DATE(YEAR(H6)-(($I6/12)-2),MONTH(H6),DAY(H6)),"dd/mm/yyyy"),", ",Constants!$P$5,TEXT(DATE(YEAR(H6)-(($I6/12)-3),MONTH(H6),DAY(H6)),"dd/mm/yyyy"),", ",Constants!$Q$5,TEXT(DATE(YEAR(H6)-(($I6/12)-4),MONTH(H6),DAY(H6)),"dd/mm/yyyy"),", ",Constants!$R$5,TEXT($H6,"dd/mm/yyyy")),IF(($I6/12)=3,_xlfn.CONCAT(Constants!$N$4,TEXT(DATE(YEAR(H6)-(($I6/12)-1),MONTH(H6),DAY(H6)),"dd/mm/yyyy"),", ",Constants!$O$4,TEXT(DATE(YEAR(H6)-(($I6/12)-2),MONTH(H6),DAY(H6)),"dd/mm/yyyy"),", ",Constants!$P$4,TEXT($H6,"dd/mm/yyyy")),IF(($I6/12)=2,_xlfn.CONCAT(Constants!$N$3,TEXT(DATE(YEAR(H6)-(($I6/12)-1),MONTH(H6),DAY(H6)),"dd/mm/yyyy"),", ",Constants!$O$3,TEXT($H6,"dd/mm/yyyy")),IF(($I6/12)=1,_xlfn.CONCAT(Constants!$N$2,TEXT($H6,"dd/mm/yyyy")),"Update Constants"))))))),"")</f>
        <v>2.5% to 31/01/2026, 1.5% to 31/01/2027</v>
      </c>
      <c r="BC6" s="147">
        <f>_xlfn.IFNA(VALUE(INDEX(Producer!$K:$K,MATCH($D6,Producer!$A:$A,0))),"")</f>
        <v>0</v>
      </c>
      <c r="BD6" s="147" t="str">
        <f>_xlfn.IFNA(INDEX(Producer!$I:$I,MATCH($D6,Producer!$A:$A,0)),"")</f>
        <v>No</v>
      </c>
      <c r="BE6" s="147" t="str">
        <f t="shared" si="8"/>
        <v>Yes</v>
      </c>
      <c r="BF6" s="147"/>
      <c r="BG6" s="147"/>
      <c r="BH6" s="151">
        <f>_xlfn.IFNA(INDEX(Constants!$B:$B,MATCH(BC6,Constants!A:A,0)),"")</f>
        <v>0</v>
      </c>
      <c r="BI6" s="147">
        <f>IF(LEFT(B6,15)="Limited Company",Constants!$D$16,IFERROR(_xlfn.IFNA(IF(C6="Residential",IF(BK6&lt;75,INDEX(Constants!$B:$B,MATCH(VALUE(60)/100,Constants!$A:$A,0)),INDEX(Constants!$B:$B,MATCH(VALUE(BK6)/100,Constants!$A:$A,0))),IF(BK6&lt;60,INDEX(Constants!$C:$C,MATCH(VALUE(60)/100,Constants!$A:$A,0)),INDEX(Constants!$C:$C,MATCH(VALUE(BK6)/100,Constants!$A:$A,0)))),""),""))</f>
        <v>2000000</v>
      </c>
      <c r="BJ6" s="147">
        <f t="shared" si="9"/>
        <v>0</v>
      </c>
      <c r="BK6" s="147">
        <f>_xlfn.IFNA(VALUE(INDEX(Producer!$E:$E,MATCH($D6,Producer!$A:$A,0)))*100,"")</f>
        <v>75</v>
      </c>
      <c r="BL6" s="146" t="str">
        <f>_xlfn.IFNA(IF(IFERROR(FIND("Part &amp; Part",B6),-10)&gt;0,"PP",IF(OR(LEFT(B6,25)="Residential Interest Only",INDEX(Producer!$P:$P,MATCH($D6,Producer!$A:$A,0))="IO",INDEX(Producer!$P:$P,MATCH($D6,Producer!$A:$A,0))="Retirement Interest Only"),"IO",IF($C6="BuyToLet","CI, IO","CI"))),"")</f>
        <v>CI</v>
      </c>
      <c r="BM6" s="152" t="str">
        <f>_xlfn.IFNA(IF(BL6="IO",100%,IF(AND(INDEX(Producer!$P:$P,MATCH($D6,Producer!$A:$A,0))="Residential Interest Only Part &amp; Part",BK6=75),80%,IF(C6="BuyToLet",100%,IF(BL6="Interest Only",100%,IF(AND(INDEX(Producer!$P:$P,MATCH($D6,Producer!$A:$A,0))="Residential Interest Only Part &amp; Part",BK6=60),100%,""))))),"")</f>
        <v/>
      </c>
      <c r="BN6" s="218">
        <f>_xlfn.IFNA(IF(VALUE(INDEX(Producer!$H:$H,MATCH($D6,Producer!$A:$A,0)))=0,"",VALUE(INDEX(Producer!$H:$H,MATCH($D6,Producer!$A:$A,0)))),"")</f>
        <v>799</v>
      </c>
      <c r="BO6" s="153"/>
      <c r="BP6" s="153"/>
      <c r="BQ6" s="219">
        <f t="shared" si="10"/>
        <v>35</v>
      </c>
      <c r="BR6" s="146"/>
      <c r="BS6" s="146"/>
      <c r="BT6" s="146"/>
      <c r="BU6" s="146"/>
      <c r="BV6" s="219">
        <f t="shared" si="11"/>
        <v>199</v>
      </c>
      <c r="BW6" s="146"/>
      <c r="BX6" s="146"/>
      <c r="BY6" s="146" t="str">
        <f t="shared" si="12"/>
        <v>No</v>
      </c>
      <c r="BZ6" s="146" t="str">
        <f t="shared" si="13"/>
        <v>No</v>
      </c>
      <c r="CA6" s="146" t="str">
        <f t="shared" si="14"/>
        <v>No</v>
      </c>
      <c r="CB6" s="146" t="str">
        <f t="shared" si="15"/>
        <v>No</v>
      </c>
      <c r="CC6" s="146" t="str">
        <f>_xlfn.IFNA(IF(INDEX(Producer!$P:$P,MATCH($D6,Producer!$A:$A,0))="Help to Buy","Only available","No"),"")</f>
        <v>No</v>
      </c>
      <c r="CD6" s="146" t="str">
        <f>_xlfn.IFNA(IF(INDEX(Producer!$P:$P,MATCH($D6,Producer!$A:$A,0))="Shared Ownership","Only available","No"),"")</f>
        <v>No</v>
      </c>
      <c r="CE6" s="146" t="str">
        <f>_xlfn.IFNA(IF(INDEX(Producer!$P:$P,MATCH($D6,Producer!$A:$A,0))="Right to Buy","Only available","No"),"")</f>
        <v>No</v>
      </c>
      <c r="CF6" s="146" t="str">
        <f t="shared" si="16"/>
        <v>No</v>
      </c>
      <c r="CG6" s="146" t="str">
        <f>_xlfn.IFNA(IF(INDEX(Producer!$P:$P,MATCH($D6,Producer!$A:$A,0))="Retirement Interest Only","Only available","No"),"")</f>
        <v>No</v>
      </c>
      <c r="CH6" s="146" t="str">
        <f t="shared" si="17"/>
        <v>No</v>
      </c>
      <c r="CI6" s="146" t="str">
        <f>_xlfn.IFNA(IF(INDEX(Producer!$P:$P,MATCH($D6,Producer!$A:$A,0))="Intermediary Holiday Let","Only available","No"),"")</f>
        <v>No</v>
      </c>
      <c r="CJ6" s="146" t="str">
        <f t="shared" si="18"/>
        <v>No</v>
      </c>
      <c r="CK6" s="146" t="str">
        <f>_xlfn.IFNA(IF(OR(INDEX(Producer!$P:$P,MATCH($D6,Producer!$A:$A,0))="Intermediary Small HMO",INDEX(Producer!$P:$P,MATCH($D6,Producer!$A:$A,0))="Intermediary Large HMO"),"Only available","No"),"")</f>
        <v>No</v>
      </c>
      <c r="CL6" s="146" t="str">
        <f t="shared" si="19"/>
        <v>No</v>
      </c>
      <c r="CM6" s="146" t="str">
        <f t="shared" si="20"/>
        <v>No</v>
      </c>
      <c r="CN6" s="146" t="str">
        <f t="shared" si="21"/>
        <v>No</v>
      </c>
      <c r="CO6" s="146" t="str">
        <f t="shared" si="22"/>
        <v>Also available</v>
      </c>
      <c r="CP6" s="146" t="str">
        <f t="shared" si="23"/>
        <v>No</v>
      </c>
      <c r="CQ6" s="146" t="str">
        <f t="shared" si="24"/>
        <v>No</v>
      </c>
      <c r="CR6" s="146" t="str">
        <f t="shared" si="25"/>
        <v>Also available</v>
      </c>
      <c r="CS6" s="146" t="str">
        <f t="shared" si="26"/>
        <v>Only available</v>
      </c>
      <c r="CT6" s="146" t="str">
        <f t="shared" si="27"/>
        <v>No</v>
      </c>
      <c r="CU6" s="146"/>
    </row>
    <row r="7" spans="1:99" ht="16.399999999999999" customHeight="1" x14ac:dyDescent="0.35">
      <c r="A7" s="145" t="str">
        <f t="shared" si="0"/>
        <v>Leeds Building Society</v>
      </c>
      <c r="B7" s="145" t="str">
        <f>_xlfn.IFNA(_xlfn.CONCAT(INDEX(Producer!$P:$P,MATCH($D7,Producer!$A:$A,0))," ",IF(INDEX(Producer!$N:$N,MATCH($D7,Producer!$A:$A,0))="Yes","Green ",""),IF(AND(INDEX(Producer!$L:$L,MATCH($D7,Producer!$A:$A,0))="No",INDEX(Producer!$C:$C,MATCH($D7,Producer!$A:$A,0))="Fixed"),"Flexit ",""),INDEX(Producer!$B:$B,MATCH($D7,Producer!$A:$A,0))," Year ",INDEX(Producer!$C:$C,MATCH($D7,Producer!$A:$A,0))," ",VALUE(INDEX(Producer!$E:$E,MATCH($D7,Producer!$A:$A,0)))*100,"% LTV",IF(INDEX(Producer!$N:$N,MATCH($D7,Producer!$A:$A,0))="Yes"," (EPC A-C)","")," - ",IF(INDEX(Producer!$D:$D,MATCH($D7,Producer!$A:$A,0))="DLY","Daily","Annual")),"")</f>
        <v>Residential 2 Year Fixed 75% LTV - Daily</v>
      </c>
      <c r="C7" s="146" t="str">
        <f>_xlfn.IFNA(INDEX(Producer!$Q:$Q,MATCH($D7,Producer!$A:$A,0)),"")</f>
        <v>Residential</v>
      </c>
      <c r="D7" s="146">
        <f>IFERROR(VALUE(MID(Producer!$R$2,IF($D6="",1/0,FIND(_xlfn.CONCAT($D5,$D6),Producer!$R$2)+10),5)),"")</f>
        <v>54342</v>
      </c>
      <c r="E7" s="146" t="str">
        <f t="shared" si="1"/>
        <v>Stepped Fixed</v>
      </c>
      <c r="F7" s="146"/>
      <c r="G7" s="147">
        <f>_xlfn.IFNA(VALUE(INDEX(Producer!$F:$F,MATCH($D7,Producer!$A:$A,0)))*100,"")</f>
        <v>4.54</v>
      </c>
      <c r="H7" s="216">
        <f>_xlfn.IFNA(IFERROR(DATEVALUE(INDEX(Producer!$M:$M,MATCH($D7,Producer!$A:$A,0))),(INDEX(Producer!$M:$M,MATCH($D7,Producer!$A:$A,0)))),"")</f>
        <v>46418</v>
      </c>
      <c r="I7" s="217">
        <f>_xlfn.IFNA(VALUE(INDEX(Producer!$B:$B,MATCH($D7,Producer!$A:$A,0)))*12,"")</f>
        <v>24</v>
      </c>
      <c r="J7" s="146">
        <f>_xlfn.IFNA(IF(C7="Residential",IF(VALUE(INDEX(Producer!$B:$B,MATCH($D7,Producer!$A:$A,0)))&lt;5,Constants!$C$10,""),IF(VALUE(INDEX(Producer!$B:$B,MATCH($D7,Producer!$A:$A,0)))&lt;5,Constants!$C$11,"")),"")</f>
        <v>7.49</v>
      </c>
      <c r="K7" s="216">
        <f>_xlfn.IFNA(IF(($I7)&lt;60,DATE(YEAR(H7)+(5-VALUE(INDEX(Producer!$B:$B,MATCH($D7,Producer!$A:$A,0)))),MONTH(H7),DAY(H7)),""),"")</f>
        <v>47514</v>
      </c>
      <c r="L7" s="153">
        <f t="shared" si="2"/>
        <v>36</v>
      </c>
      <c r="M7" s="146"/>
      <c r="N7" s="148"/>
      <c r="O7" s="148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>
        <f>IF(D7="","",IF(C7="Residential",Constants!$B$10,Constants!$B$11))</f>
        <v>8.24</v>
      </c>
      <c r="AL7" s="146" t="str">
        <f t="shared" si="3"/>
        <v>SVR</v>
      </c>
      <c r="AM7" s="206" t="str">
        <f t="shared" si="4"/>
        <v/>
      </c>
      <c r="AN7" s="146">
        <f t="shared" si="5"/>
        <v>10</v>
      </c>
      <c r="AO7" s="149" t="str">
        <f t="shared" si="6"/>
        <v>Remortgage</v>
      </c>
      <c r="AP7" s="150" t="str">
        <f t="shared" si="7"/>
        <v>ProductTransfer</v>
      </c>
      <c r="AQ7" s="146">
        <f>IFERROR(_xlfn.IFNA(IF($BA7="No",0,IF(INDEX(Constants!B:B,MATCH(($I7/12),Constants!$A:$A,0))=0,0,INDEX(Constants!B:B,MATCH(($I7/12),Constants!$A:$A,0)))),0),"")</f>
        <v>2.5</v>
      </c>
      <c r="AR7" s="146">
        <f>IFERROR(_xlfn.IFNA(IF($BA7="No",0,IF(INDEX(Constants!C:C,MATCH(($I7/12),Constants!$A:$A,0))=0,0,INDEX(Constants!C:C,MATCH(($I7/12),Constants!$A:$A,0)))),0),"")</f>
        <v>1.5</v>
      </c>
      <c r="AS7" s="146">
        <f>IFERROR(_xlfn.IFNA(IF($BA7="No",0,IF(INDEX(Constants!D:D,MATCH(($I7/12),Constants!$A:$A,0))=0,0,INDEX(Constants!D:D,MATCH(($I7/12),Constants!$A:$A,0)))),0),"")</f>
        <v>0</v>
      </c>
      <c r="AT7" s="146">
        <f>IFERROR(_xlfn.IFNA(IF($BA7="No",0,IF(INDEX(Constants!E:E,MATCH(($I7/12),Constants!$A:$A,0))=0,0,INDEX(Constants!E:E,MATCH(($I7/12),Constants!$A:$A,0)))),0),"")</f>
        <v>0</v>
      </c>
      <c r="AU7" s="146">
        <f>IFERROR(_xlfn.IFNA(IF($BA7="No",0,IF(INDEX(Constants!F:F,MATCH(($I7/12),Constants!$A:$A,0))=0,0,INDEX(Constants!F:F,MATCH(($I7/12),Constants!$A:$A,0)))),0),"")</f>
        <v>0</v>
      </c>
      <c r="AV7" s="146">
        <f>IFERROR(_xlfn.IFNA(IF($BA7="No",0,IF(INDEX(Constants!G:G,MATCH(($I7/12),Constants!$A:$A,0))=0,0,INDEX(Constants!G:G,MATCH(($I7/12),Constants!$A:$A,0)))),0),"")</f>
        <v>0</v>
      </c>
      <c r="AW7" s="146">
        <f>IFERROR(_xlfn.IFNA(IF($BA7="No",0,IF(INDEX(Constants!H:H,MATCH(($I7/12),Constants!$A:$A,0))=0,0,INDEX(Constants!H:H,MATCH(($I7/12),Constants!$A:$A,0)))),0),"")</f>
        <v>0</v>
      </c>
      <c r="AX7" s="146">
        <f>IFERROR(_xlfn.IFNA(IF($BA7="No",0,IF(INDEX(Constants!I:I,MATCH(($I7/12),Constants!$A:$A,0))=0,0,INDEX(Constants!I:I,MATCH(($I7/12),Constants!$A:$A,0)))),0),"")</f>
        <v>0</v>
      </c>
      <c r="AY7" s="146">
        <f>IFERROR(_xlfn.IFNA(IF($BA7="No",0,IF(INDEX(Constants!J:J,MATCH(($I7/12),Constants!$A:$A,0))=0,0,INDEX(Constants!J:J,MATCH(($I7/12),Constants!$A:$A,0)))),0),"")</f>
        <v>0</v>
      </c>
      <c r="AZ7" s="146">
        <f>IFERROR(_xlfn.IFNA(IF($BA7="No",0,IF(INDEX(Constants!K:K,MATCH(($I7/12),Constants!$A:$A,0))=0,0,INDEX(Constants!K:K,MATCH(($I7/12),Constants!$A:$A,0)))),0),"")</f>
        <v>0</v>
      </c>
      <c r="BA7" s="147" t="str">
        <f>_xlfn.IFNA(INDEX(Producer!$L:$L,MATCH($D7,Producer!$A:$A,0)),"")</f>
        <v>Yes</v>
      </c>
      <c r="BB7" s="146" t="str">
        <f>IFERROR(IF(AQ7=0,"",IF(($I7/12)=15,_xlfn.CONCAT(Constants!$N$7,TEXT(DATE(YEAR(H7)-(($I7/12)-3),MONTH(H7),DAY(H7)),"dd/mm/yyyy"),", ",Constants!$P$7,TEXT(DATE(YEAR(H7)-(($I7/12)-8),MONTH(H7),DAY(H7)),"dd/mm/yyyy"),", ",Constants!$T$7,TEXT(DATE(YEAR(H7)-(($I7/12)-11),MONTH(H7),DAY(H7)),"dd/mm/yyyy"),", ",Constants!$V$7,TEXT(DATE(YEAR(H7)-(($I7/12)-13),MONTH(H7),DAY(H7)),"dd/mm/yyyy"),", ",Constants!$W$7,TEXT($H7,"dd/mm/yyyy")),IF(($I7/12)=10,_xlfn.CONCAT(Constants!$N$6,TEXT(DATE(YEAR(H7)-(($I7/12)-2),MONTH(H7),DAY(H7)),"dd/mm/yyyy"),", ",Constants!$P$6,TEXT(DATE(YEAR(H7)-(($I7/12)-6),MONTH(H7),DAY(H7)),"dd/mm/yyyy"),", ",Constants!$T$6,TEXT(DATE(YEAR(H7)-(($I7/12)-8),MONTH(H7),DAY(H7)),"dd/mm/yyyy"),", ",Constants!$V$6,TEXT(DATE(YEAR(H7)-(($I7/12)-9),MONTH(H7),DAY(H7)),"dd/mm/yyyy"),", ",Constants!$W$6,TEXT($H7,"dd/mm/yyyy")),IF(($I7/12)=5,_xlfn.CONCAT(Constants!$N$5,TEXT(DATE(YEAR(H7)-(($I7/12)-1),MONTH(H7),DAY(H7)),"dd/mm/yyyy"),", ",Constants!$O$5,TEXT(DATE(YEAR(H7)-(($I7/12)-2),MONTH(H7),DAY(H7)),"dd/mm/yyyy"),", ",Constants!$P$5,TEXT(DATE(YEAR(H7)-(($I7/12)-3),MONTH(H7),DAY(H7)),"dd/mm/yyyy"),", ",Constants!$Q$5,TEXT(DATE(YEAR(H7)-(($I7/12)-4),MONTH(H7),DAY(H7)),"dd/mm/yyyy"),", ",Constants!$R$5,TEXT($H7,"dd/mm/yyyy")),IF(($I7/12)=3,_xlfn.CONCAT(Constants!$N$4,TEXT(DATE(YEAR(H7)-(($I7/12)-1),MONTH(H7),DAY(H7)),"dd/mm/yyyy"),", ",Constants!$O$4,TEXT(DATE(YEAR(H7)-(($I7/12)-2),MONTH(H7),DAY(H7)),"dd/mm/yyyy"),", ",Constants!$P$4,TEXT($H7,"dd/mm/yyyy")),IF(($I7/12)=2,_xlfn.CONCAT(Constants!$N$3,TEXT(DATE(YEAR(H7)-(($I7/12)-1),MONTH(H7),DAY(H7)),"dd/mm/yyyy"),", ",Constants!$O$3,TEXT($H7,"dd/mm/yyyy")),IF(($I7/12)=1,_xlfn.CONCAT(Constants!$N$2,TEXT($H7,"dd/mm/yyyy")),"Update Constants"))))))),"")</f>
        <v>2.5% to 31/01/2026, 1.5% to 31/01/2027</v>
      </c>
      <c r="BC7" s="147">
        <f>_xlfn.IFNA(VALUE(INDEX(Producer!$K:$K,MATCH($D7,Producer!$A:$A,0))),"")</f>
        <v>0</v>
      </c>
      <c r="BD7" s="147" t="str">
        <f>_xlfn.IFNA(INDEX(Producer!$I:$I,MATCH($D7,Producer!$A:$A,0)),"")</f>
        <v>No</v>
      </c>
      <c r="BE7" s="147" t="str">
        <f t="shared" si="8"/>
        <v>Yes</v>
      </c>
      <c r="BF7" s="147"/>
      <c r="BG7" s="147"/>
      <c r="BH7" s="151">
        <f>_xlfn.IFNA(INDEX(Constants!$B:$B,MATCH(BC7,Constants!A:A,0)),"")</f>
        <v>0</v>
      </c>
      <c r="BI7" s="147">
        <f>IF(LEFT(B7,15)="Limited Company",Constants!$D$16,IFERROR(_xlfn.IFNA(IF(C7="Residential",IF(BK7&lt;75,INDEX(Constants!$B:$B,MATCH(VALUE(60)/100,Constants!$A:$A,0)),INDEX(Constants!$B:$B,MATCH(VALUE(BK7)/100,Constants!$A:$A,0))),IF(BK7&lt;60,INDEX(Constants!$C:$C,MATCH(VALUE(60)/100,Constants!$A:$A,0)),INDEX(Constants!$C:$C,MATCH(VALUE(BK7)/100,Constants!$A:$A,0)))),""),""))</f>
        <v>2000000</v>
      </c>
      <c r="BJ7" s="147">
        <f t="shared" si="9"/>
        <v>0</v>
      </c>
      <c r="BK7" s="147">
        <f>_xlfn.IFNA(VALUE(INDEX(Producer!$E:$E,MATCH($D7,Producer!$A:$A,0)))*100,"")</f>
        <v>75</v>
      </c>
      <c r="BL7" s="146" t="str">
        <f>_xlfn.IFNA(IF(IFERROR(FIND("Part &amp; Part",B7),-10)&gt;0,"PP",IF(OR(LEFT(B7,25)="Residential Interest Only",INDEX(Producer!$P:$P,MATCH($D7,Producer!$A:$A,0))="IO",INDEX(Producer!$P:$P,MATCH($D7,Producer!$A:$A,0))="Retirement Interest Only"),"IO",IF($C7="BuyToLet","CI, IO","CI"))),"")</f>
        <v>CI</v>
      </c>
      <c r="BM7" s="152" t="str">
        <f>_xlfn.IFNA(IF(BL7="IO",100%,IF(AND(INDEX(Producer!$P:$P,MATCH($D7,Producer!$A:$A,0))="Residential Interest Only Part &amp; Part",BK7=75),80%,IF(C7="BuyToLet",100%,IF(BL7="Interest Only",100%,IF(AND(INDEX(Producer!$P:$P,MATCH($D7,Producer!$A:$A,0))="Residential Interest Only Part &amp; Part",BK7=60),100%,""))))),"")</f>
        <v/>
      </c>
      <c r="BN7" s="218" t="str">
        <f>_xlfn.IFNA(IF(VALUE(INDEX(Producer!$H:$H,MATCH($D7,Producer!$A:$A,0)))=0,"",VALUE(INDEX(Producer!$H:$H,MATCH($D7,Producer!$A:$A,0)))),"")</f>
        <v/>
      </c>
      <c r="BO7" s="153"/>
      <c r="BP7" s="153"/>
      <c r="BQ7" s="219">
        <f t="shared" si="10"/>
        <v>35</v>
      </c>
      <c r="BR7" s="146"/>
      <c r="BS7" s="146"/>
      <c r="BT7" s="146"/>
      <c r="BU7" s="146"/>
      <c r="BV7" s="219">
        <f t="shared" si="11"/>
        <v>199</v>
      </c>
      <c r="BW7" s="146"/>
      <c r="BX7" s="146"/>
      <c r="BY7" s="146" t="str">
        <f t="shared" si="12"/>
        <v>No</v>
      </c>
      <c r="BZ7" s="146" t="str">
        <f t="shared" si="13"/>
        <v>No</v>
      </c>
      <c r="CA7" s="146" t="str">
        <f t="shared" si="14"/>
        <v>No</v>
      </c>
      <c r="CB7" s="146" t="str">
        <f t="shared" si="15"/>
        <v>No</v>
      </c>
      <c r="CC7" s="146" t="str">
        <f>_xlfn.IFNA(IF(INDEX(Producer!$P:$P,MATCH($D7,Producer!$A:$A,0))="Help to Buy","Only available","No"),"")</f>
        <v>No</v>
      </c>
      <c r="CD7" s="146" t="str">
        <f>_xlfn.IFNA(IF(INDEX(Producer!$P:$P,MATCH($D7,Producer!$A:$A,0))="Shared Ownership","Only available","No"),"")</f>
        <v>No</v>
      </c>
      <c r="CE7" s="146" t="str">
        <f>_xlfn.IFNA(IF(INDEX(Producer!$P:$P,MATCH($D7,Producer!$A:$A,0))="Right to Buy","Only available","No"),"")</f>
        <v>No</v>
      </c>
      <c r="CF7" s="146" t="str">
        <f t="shared" si="16"/>
        <v>No</v>
      </c>
      <c r="CG7" s="146" t="str">
        <f>_xlfn.IFNA(IF(INDEX(Producer!$P:$P,MATCH($D7,Producer!$A:$A,0))="Retirement Interest Only","Only available","No"),"")</f>
        <v>No</v>
      </c>
      <c r="CH7" s="146" t="str">
        <f t="shared" si="17"/>
        <v>No</v>
      </c>
      <c r="CI7" s="146" t="str">
        <f>_xlfn.IFNA(IF(INDEX(Producer!$P:$P,MATCH($D7,Producer!$A:$A,0))="Intermediary Holiday Let","Only available","No"),"")</f>
        <v>No</v>
      </c>
      <c r="CJ7" s="146" t="str">
        <f t="shared" si="18"/>
        <v>No</v>
      </c>
      <c r="CK7" s="146" t="str">
        <f>_xlfn.IFNA(IF(OR(INDEX(Producer!$P:$P,MATCH($D7,Producer!$A:$A,0))="Intermediary Small HMO",INDEX(Producer!$P:$P,MATCH($D7,Producer!$A:$A,0))="Intermediary Large HMO"),"Only available","No"),"")</f>
        <v>No</v>
      </c>
      <c r="CL7" s="146" t="str">
        <f t="shared" si="19"/>
        <v>No</v>
      </c>
      <c r="CM7" s="146" t="str">
        <f t="shared" si="20"/>
        <v>No</v>
      </c>
      <c r="CN7" s="146" t="str">
        <f t="shared" si="21"/>
        <v>No</v>
      </c>
      <c r="CO7" s="146" t="str">
        <f t="shared" si="22"/>
        <v>Also available</v>
      </c>
      <c r="CP7" s="146" t="str">
        <f t="shared" si="23"/>
        <v>No</v>
      </c>
      <c r="CQ7" s="146" t="str">
        <f t="shared" si="24"/>
        <v>No</v>
      </c>
      <c r="CR7" s="146" t="str">
        <f t="shared" si="25"/>
        <v>Also available</v>
      </c>
      <c r="CS7" s="146" t="str">
        <f t="shared" si="26"/>
        <v>Only available</v>
      </c>
      <c r="CT7" s="146" t="str">
        <f t="shared" si="27"/>
        <v>No</v>
      </c>
      <c r="CU7" s="146"/>
    </row>
    <row r="8" spans="1:99" ht="16.399999999999999" customHeight="1" x14ac:dyDescent="0.35">
      <c r="A8" s="145" t="str">
        <f t="shared" si="0"/>
        <v>Leeds Building Society</v>
      </c>
      <c r="B8" s="145" t="str">
        <f>_xlfn.IFNA(_xlfn.CONCAT(INDEX(Producer!$P:$P,MATCH($D8,Producer!$A:$A,0))," ",IF(INDEX(Producer!$N:$N,MATCH($D8,Producer!$A:$A,0))="Yes","Green ",""),IF(AND(INDEX(Producer!$L:$L,MATCH($D8,Producer!$A:$A,0))="No",INDEX(Producer!$C:$C,MATCH($D8,Producer!$A:$A,0))="Fixed"),"Flexit ",""),INDEX(Producer!$B:$B,MATCH($D8,Producer!$A:$A,0))," Year ",INDEX(Producer!$C:$C,MATCH($D8,Producer!$A:$A,0))," ",VALUE(INDEX(Producer!$E:$E,MATCH($D8,Producer!$A:$A,0)))*100,"% LTV",IF(INDEX(Producer!$N:$N,MATCH($D8,Producer!$A:$A,0))="Yes"," (EPC A-C)","")," - ",IF(INDEX(Producer!$D:$D,MATCH($D8,Producer!$A:$A,0))="DLY","Daily","Annual")),"")</f>
        <v>Residential 2 Year Fixed 90% LTV - Daily</v>
      </c>
      <c r="C8" s="146" t="str">
        <f>_xlfn.IFNA(INDEX(Producer!$Q:$Q,MATCH($D8,Producer!$A:$A,0)),"")</f>
        <v>Residential</v>
      </c>
      <c r="D8" s="146">
        <f>IFERROR(VALUE(MID(Producer!$R$2,IF($D7="",1/0,FIND(_xlfn.CONCAT($D6,$D7),Producer!$R$2)+10),5)),"")</f>
        <v>54190</v>
      </c>
      <c r="E8" s="146" t="str">
        <f t="shared" si="1"/>
        <v>Stepped Fixed</v>
      </c>
      <c r="F8" s="146"/>
      <c r="G8" s="147">
        <f>_xlfn.IFNA(VALUE(INDEX(Producer!$F:$F,MATCH($D8,Producer!$A:$A,0)))*100,"")</f>
        <v>5.89</v>
      </c>
      <c r="H8" s="216">
        <f>_xlfn.IFNA(IFERROR(DATEVALUE(INDEX(Producer!$M:$M,MATCH($D8,Producer!$A:$A,0))),(INDEX(Producer!$M:$M,MATCH($D8,Producer!$A:$A,0)))),"")</f>
        <v>46418</v>
      </c>
      <c r="I8" s="217">
        <f>_xlfn.IFNA(VALUE(INDEX(Producer!$B:$B,MATCH($D8,Producer!$A:$A,0)))*12,"")</f>
        <v>24</v>
      </c>
      <c r="J8" s="146">
        <f>_xlfn.IFNA(IF(C8="Residential",IF(VALUE(INDEX(Producer!$B:$B,MATCH($D8,Producer!$A:$A,0)))&lt;5,Constants!$C$10,""),IF(VALUE(INDEX(Producer!$B:$B,MATCH($D8,Producer!$A:$A,0)))&lt;5,Constants!$C$11,"")),"")</f>
        <v>7.49</v>
      </c>
      <c r="K8" s="216">
        <f>_xlfn.IFNA(IF(($I8)&lt;60,DATE(YEAR(H8)+(5-VALUE(INDEX(Producer!$B:$B,MATCH($D8,Producer!$A:$A,0)))),MONTH(H8),DAY(H8)),""),"")</f>
        <v>47514</v>
      </c>
      <c r="L8" s="153">
        <f t="shared" si="2"/>
        <v>36</v>
      </c>
      <c r="M8" s="146"/>
      <c r="N8" s="148"/>
      <c r="O8" s="148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>
        <f>IF(D8="","",IF(C8="Residential",Constants!$B$10,Constants!$B$11))</f>
        <v>8.24</v>
      </c>
      <c r="AL8" s="146" t="str">
        <f t="shared" si="3"/>
        <v>SVR</v>
      </c>
      <c r="AM8" s="206" t="str">
        <f t="shared" si="4"/>
        <v/>
      </c>
      <c r="AN8" s="146">
        <f t="shared" si="5"/>
        <v>10</v>
      </c>
      <c r="AO8" s="149" t="str">
        <f t="shared" si="6"/>
        <v>Remortgage</v>
      </c>
      <c r="AP8" s="150" t="str">
        <f t="shared" si="7"/>
        <v>ProductTransfer</v>
      </c>
      <c r="AQ8" s="146">
        <f>IFERROR(_xlfn.IFNA(IF($BA8="No",0,IF(INDEX(Constants!B:B,MATCH(($I8/12),Constants!$A:$A,0))=0,0,INDEX(Constants!B:B,MATCH(($I8/12),Constants!$A:$A,0)))),0),"")</f>
        <v>2.5</v>
      </c>
      <c r="AR8" s="146">
        <f>IFERROR(_xlfn.IFNA(IF($BA8="No",0,IF(INDEX(Constants!C:C,MATCH(($I8/12),Constants!$A:$A,0))=0,0,INDEX(Constants!C:C,MATCH(($I8/12),Constants!$A:$A,0)))),0),"")</f>
        <v>1.5</v>
      </c>
      <c r="AS8" s="146">
        <f>IFERROR(_xlfn.IFNA(IF($BA8="No",0,IF(INDEX(Constants!D:D,MATCH(($I8/12),Constants!$A:$A,0))=0,0,INDEX(Constants!D:D,MATCH(($I8/12),Constants!$A:$A,0)))),0),"")</f>
        <v>0</v>
      </c>
      <c r="AT8" s="146">
        <f>IFERROR(_xlfn.IFNA(IF($BA8="No",0,IF(INDEX(Constants!E:E,MATCH(($I8/12),Constants!$A:$A,0))=0,0,INDEX(Constants!E:E,MATCH(($I8/12),Constants!$A:$A,0)))),0),"")</f>
        <v>0</v>
      </c>
      <c r="AU8" s="146">
        <f>IFERROR(_xlfn.IFNA(IF($BA8="No",0,IF(INDEX(Constants!F:F,MATCH(($I8/12),Constants!$A:$A,0))=0,0,INDEX(Constants!F:F,MATCH(($I8/12),Constants!$A:$A,0)))),0),"")</f>
        <v>0</v>
      </c>
      <c r="AV8" s="146">
        <f>IFERROR(_xlfn.IFNA(IF($BA8="No",0,IF(INDEX(Constants!G:G,MATCH(($I8/12),Constants!$A:$A,0))=0,0,INDEX(Constants!G:G,MATCH(($I8/12),Constants!$A:$A,0)))),0),"")</f>
        <v>0</v>
      </c>
      <c r="AW8" s="146">
        <f>IFERROR(_xlfn.IFNA(IF($BA8="No",0,IF(INDEX(Constants!H:H,MATCH(($I8/12),Constants!$A:$A,0))=0,0,INDEX(Constants!H:H,MATCH(($I8/12),Constants!$A:$A,0)))),0),"")</f>
        <v>0</v>
      </c>
      <c r="AX8" s="146">
        <f>IFERROR(_xlfn.IFNA(IF($BA8="No",0,IF(INDEX(Constants!I:I,MATCH(($I8/12),Constants!$A:$A,0))=0,0,INDEX(Constants!I:I,MATCH(($I8/12),Constants!$A:$A,0)))),0),"")</f>
        <v>0</v>
      </c>
      <c r="AY8" s="146">
        <f>IFERROR(_xlfn.IFNA(IF($BA8="No",0,IF(INDEX(Constants!J:J,MATCH(($I8/12),Constants!$A:$A,0))=0,0,INDEX(Constants!J:J,MATCH(($I8/12),Constants!$A:$A,0)))),0),"")</f>
        <v>0</v>
      </c>
      <c r="AZ8" s="146">
        <f>IFERROR(_xlfn.IFNA(IF($BA8="No",0,IF(INDEX(Constants!K:K,MATCH(($I8/12),Constants!$A:$A,0))=0,0,INDEX(Constants!K:K,MATCH(($I8/12),Constants!$A:$A,0)))),0),"")</f>
        <v>0</v>
      </c>
      <c r="BA8" s="147" t="str">
        <f>_xlfn.IFNA(INDEX(Producer!$L:$L,MATCH($D8,Producer!$A:$A,0)),"")</f>
        <v>Yes</v>
      </c>
      <c r="BB8" s="146" t="str">
        <f>IFERROR(IF(AQ8=0,"",IF(($I8/12)=15,_xlfn.CONCAT(Constants!$N$7,TEXT(DATE(YEAR(H8)-(($I8/12)-3),MONTH(H8),DAY(H8)),"dd/mm/yyyy"),", ",Constants!$P$7,TEXT(DATE(YEAR(H8)-(($I8/12)-8),MONTH(H8),DAY(H8)),"dd/mm/yyyy"),", ",Constants!$T$7,TEXT(DATE(YEAR(H8)-(($I8/12)-11),MONTH(H8),DAY(H8)),"dd/mm/yyyy"),", ",Constants!$V$7,TEXT(DATE(YEAR(H8)-(($I8/12)-13),MONTH(H8),DAY(H8)),"dd/mm/yyyy"),", ",Constants!$W$7,TEXT($H8,"dd/mm/yyyy")),IF(($I8/12)=10,_xlfn.CONCAT(Constants!$N$6,TEXT(DATE(YEAR(H8)-(($I8/12)-2),MONTH(H8),DAY(H8)),"dd/mm/yyyy"),", ",Constants!$P$6,TEXT(DATE(YEAR(H8)-(($I8/12)-6),MONTH(H8),DAY(H8)),"dd/mm/yyyy"),", ",Constants!$T$6,TEXT(DATE(YEAR(H8)-(($I8/12)-8),MONTH(H8),DAY(H8)),"dd/mm/yyyy"),", ",Constants!$V$6,TEXT(DATE(YEAR(H8)-(($I8/12)-9),MONTH(H8),DAY(H8)),"dd/mm/yyyy"),", ",Constants!$W$6,TEXT($H8,"dd/mm/yyyy")),IF(($I8/12)=5,_xlfn.CONCAT(Constants!$N$5,TEXT(DATE(YEAR(H8)-(($I8/12)-1),MONTH(H8),DAY(H8)),"dd/mm/yyyy"),", ",Constants!$O$5,TEXT(DATE(YEAR(H8)-(($I8/12)-2),MONTH(H8),DAY(H8)),"dd/mm/yyyy"),", ",Constants!$P$5,TEXT(DATE(YEAR(H8)-(($I8/12)-3),MONTH(H8),DAY(H8)),"dd/mm/yyyy"),", ",Constants!$Q$5,TEXT(DATE(YEAR(H8)-(($I8/12)-4),MONTH(H8),DAY(H8)),"dd/mm/yyyy"),", ",Constants!$R$5,TEXT($H8,"dd/mm/yyyy")),IF(($I8/12)=3,_xlfn.CONCAT(Constants!$N$4,TEXT(DATE(YEAR(H8)-(($I8/12)-1),MONTH(H8),DAY(H8)),"dd/mm/yyyy"),", ",Constants!$O$4,TEXT(DATE(YEAR(H8)-(($I8/12)-2),MONTH(H8),DAY(H8)),"dd/mm/yyyy"),", ",Constants!$P$4,TEXT($H8,"dd/mm/yyyy")),IF(($I8/12)=2,_xlfn.CONCAT(Constants!$N$3,TEXT(DATE(YEAR(H8)-(($I8/12)-1),MONTH(H8),DAY(H8)),"dd/mm/yyyy"),", ",Constants!$O$3,TEXT($H8,"dd/mm/yyyy")),IF(($I8/12)=1,_xlfn.CONCAT(Constants!$N$2,TEXT($H8,"dd/mm/yyyy")),"Update Constants"))))))),"")</f>
        <v>2.5% to 31/01/2026, 1.5% to 31/01/2027</v>
      </c>
      <c r="BC8" s="147">
        <f>_xlfn.IFNA(VALUE(INDEX(Producer!$K:$K,MATCH($D8,Producer!$A:$A,0))),"")</f>
        <v>0</v>
      </c>
      <c r="BD8" s="147" t="str">
        <f>_xlfn.IFNA(INDEX(Producer!$I:$I,MATCH($D8,Producer!$A:$A,0)),"")</f>
        <v>No</v>
      </c>
      <c r="BE8" s="147" t="str">
        <f t="shared" si="8"/>
        <v>Yes</v>
      </c>
      <c r="BF8" s="147"/>
      <c r="BG8" s="147"/>
      <c r="BH8" s="151">
        <f>_xlfn.IFNA(INDEX(Constants!$B:$B,MATCH(BC8,Constants!A:A,0)),"")</f>
        <v>0</v>
      </c>
      <c r="BI8" s="147">
        <f>IF(LEFT(B8,15)="Limited Company",Constants!$D$16,IFERROR(_xlfn.IFNA(IF(C8="Residential",IF(BK8&lt;75,INDEX(Constants!$B:$B,MATCH(VALUE(60)/100,Constants!$A:$A,0)),INDEX(Constants!$B:$B,MATCH(VALUE(BK8)/100,Constants!$A:$A,0))),IF(BK8&lt;60,INDEX(Constants!$C:$C,MATCH(VALUE(60)/100,Constants!$A:$A,0)),INDEX(Constants!$C:$C,MATCH(VALUE(BK8)/100,Constants!$A:$A,0)))),""),""))</f>
        <v>2000000</v>
      </c>
      <c r="BJ8" s="147">
        <f t="shared" si="9"/>
        <v>0</v>
      </c>
      <c r="BK8" s="147">
        <f>_xlfn.IFNA(VALUE(INDEX(Producer!$E:$E,MATCH($D8,Producer!$A:$A,0)))*100,"")</f>
        <v>90</v>
      </c>
      <c r="BL8" s="146" t="str">
        <f>_xlfn.IFNA(IF(IFERROR(FIND("Part &amp; Part",B8),-10)&gt;0,"PP",IF(OR(LEFT(B8,25)="Residential Interest Only",INDEX(Producer!$P:$P,MATCH($D8,Producer!$A:$A,0))="IO",INDEX(Producer!$P:$P,MATCH($D8,Producer!$A:$A,0))="Retirement Interest Only"),"IO",IF($C8="BuyToLet","CI, IO","CI"))),"")</f>
        <v>CI</v>
      </c>
      <c r="BM8" s="152" t="str">
        <f>_xlfn.IFNA(IF(BL8="IO",100%,IF(AND(INDEX(Producer!$P:$P,MATCH($D8,Producer!$A:$A,0))="Residential Interest Only Part &amp; Part",BK8=75),80%,IF(C8="BuyToLet",100%,IF(BL8="Interest Only",100%,IF(AND(INDEX(Producer!$P:$P,MATCH($D8,Producer!$A:$A,0))="Residential Interest Only Part &amp; Part",BK8=60),100%,""))))),"")</f>
        <v/>
      </c>
      <c r="BN8" s="218" t="str">
        <f>_xlfn.IFNA(IF(VALUE(INDEX(Producer!$H:$H,MATCH($D8,Producer!$A:$A,0)))=0,"",VALUE(INDEX(Producer!$H:$H,MATCH($D8,Producer!$A:$A,0)))),"")</f>
        <v/>
      </c>
      <c r="BO8" s="153"/>
      <c r="BP8" s="153"/>
      <c r="BQ8" s="219">
        <f t="shared" si="10"/>
        <v>35</v>
      </c>
      <c r="BR8" s="146"/>
      <c r="BS8" s="146"/>
      <c r="BT8" s="146"/>
      <c r="BU8" s="146"/>
      <c r="BV8" s="219">
        <f t="shared" si="11"/>
        <v>199</v>
      </c>
      <c r="BW8" s="146"/>
      <c r="BX8" s="146"/>
      <c r="BY8" s="146" t="str">
        <f t="shared" si="12"/>
        <v>No</v>
      </c>
      <c r="BZ8" s="146" t="str">
        <f t="shared" si="13"/>
        <v>No</v>
      </c>
      <c r="CA8" s="146" t="str">
        <f t="shared" si="14"/>
        <v>No</v>
      </c>
      <c r="CB8" s="146" t="str">
        <f t="shared" si="15"/>
        <v>No</v>
      </c>
      <c r="CC8" s="146" t="str">
        <f>_xlfn.IFNA(IF(INDEX(Producer!$P:$P,MATCH($D8,Producer!$A:$A,0))="Help to Buy","Only available","No"),"")</f>
        <v>No</v>
      </c>
      <c r="CD8" s="146" t="str">
        <f>_xlfn.IFNA(IF(INDEX(Producer!$P:$P,MATCH($D8,Producer!$A:$A,0))="Shared Ownership","Only available","No"),"")</f>
        <v>No</v>
      </c>
      <c r="CE8" s="146" t="str">
        <f>_xlfn.IFNA(IF(INDEX(Producer!$P:$P,MATCH($D8,Producer!$A:$A,0))="Right to Buy","Only available","No"),"")</f>
        <v>No</v>
      </c>
      <c r="CF8" s="146" t="str">
        <f t="shared" si="16"/>
        <v>No</v>
      </c>
      <c r="CG8" s="146" t="str">
        <f>_xlfn.IFNA(IF(INDEX(Producer!$P:$P,MATCH($D8,Producer!$A:$A,0))="Retirement Interest Only","Only available","No"),"")</f>
        <v>No</v>
      </c>
      <c r="CH8" s="146" t="str">
        <f t="shared" si="17"/>
        <v>No</v>
      </c>
      <c r="CI8" s="146" t="str">
        <f>_xlfn.IFNA(IF(INDEX(Producer!$P:$P,MATCH($D8,Producer!$A:$A,0))="Intermediary Holiday Let","Only available","No"),"")</f>
        <v>No</v>
      </c>
      <c r="CJ8" s="146" t="str">
        <f t="shared" si="18"/>
        <v>No</v>
      </c>
      <c r="CK8" s="146" t="str">
        <f>_xlfn.IFNA(IF(OR(INDEX(Producer!$P:$P,MATCH($D8,Producer!$A:$A,0))="Intermediary Small HMO",INDEX(Producer!$P:$P,MATCH($D8,Producer!$A:$A,0))="Intermediary Large HMO"),"Only available","No"),"")</f>
        <v>No</v>
      </c>
      <c r="CL8" s="146" t="str">
        <f t="shared" si="19"/>
        <v>No</v>
      </c>
      <c r="CM8" s="146" t="str">
        <f t="shared" si="20"/>
        <v>No</v>
      </c>
      <c r="CN8" s="146" t="str">
        <f t="shared" si="21"/>
        <v>No</v>
      </c>
      <c r="CO8" s="146" t="str">
        <f t="shared" si="22"/>
        <v>Also available</v>
      </c>
      <c r="CP8" s="146" t="str">
        <f t="shared" si="23"/>
        <v>No</v>
      </c>
      <c r="CQ8" s="146" t="str">
        <f t="shared" si="24"/>
        <v>No</v>
      </c>
      <c r="CR8" s="146" t="str">
        <f t="shared" si="25"/>
        <v>Also available</v>
      </c>
      <c r="CS8" s="146" t="str">
        <f t="shared" si="26"/>
        <v>Only available</v>
      </c>
      <c r="CT8" s="146" t="str">
        <f t="shared" si="27"/>
        <v>No</v>
      </c>
      <c r="CU8" s="146"/>
    </row>
    <row r="9" spans="1:99" ht="16.399999999999999" customHeight="1" x14ac:dyDescent="0.35">
      <c r="A9" s="145" t="str">
        <f t="shared" si="0"/>
        <v>Leeds Building Society</v>
      </c>
      <c r="B9" s="145" t="str">
        <f>_xlfn.IFNA(_xlfn.CONCAT(INDEX(Producer!$P:$P,MATCH($D9,Producer!$A:$A,0))," ",IF(INDEX(Producer!$N:$N,MATCH($D9,Producer!$A:$A,0))="Yes","Green ",""),IF(AND(INDEX(Producer!$L:$L,MATCH($D9,Producer!$A:$A,0))="No",INDEX(Producer!$C:$C,MATCH($D9,Producer!$A:$A,0))="Fixed"),"Flexit ",""),INDEX(Producer!$B:$B,MATCH($D9,Producer!$A:$A,0))," Year ",INDEX(Producer!$C:$C,MATCH($D9,Producer!$A:$A,0))," ",VALUE(INDEX(Producer!$E:$E,MATCH($D9,Producer!$A:$A,0)))*100,"% LTV",IF(INDEX(Producer!$N:$N,MATCH($D9,Producer!$A:$A,0))="Yes"," (EPC A-C)","")," - ",IF(INDEX(Producer!$D:$D,MATCH($D9,Producer!$A:$A,0))="DLY","Daily","Annual")),"")</f>
        <v>Residential 2 Year Fixed 95% LTV - Daily</v>
      </c>
      <c r="C9" s="146" t="str">
        <f>_xlfn.IFNA(INDEX(Producer!$Q:$Q,MATCH($D9,Producer!$A:$A,0)),"")</f>
        <v>Residential</v>
      </c>
      <c r="D9" s="146">
        <f>IFERROR(VALUE(MID(Producer!$R$2,IF($D8="",1/0,FIND(_xlfn.CONCAT($D7,$D8),Producer!$R$2)+10),5)),"")</f>
        <v>54191</v>
      </c>
      <c r="E9" s="146" t="str">
        <f t="shared" si="1"/>
        <v>Stepped Fixed</v>
      </c>
      <c r="F9" s="146"/>
      <c r="G9" s="147">
        <f>_xlfn.IFNA(VALUE(INDEX(Producer!$F:$F,MATCH($D9,Producer!$A:$A,0)))*100,"")</f>
        <v>6.09</v>
      </c>
      <c r="H9" s="216">
        <f>_xlfn.IFNA(IFERROR(DATEVALUE(INDEX(Producer!$M:$M,MATCH($D9,Producer!$A:$A,0))),(INDEX(Producer!$M:$M,MATCH($D9,Producer!$A:$A,0)))),"")</f>
        <v>46418</v>
      </c>
      <c r="I9" s="217">
        <f>_xlfn.IFNA(VALUE(INDEX(Producer!$B:$B,MATCH($D9,Producer!$A:$A,0)))*12,"")</f>
        <v>24</v>
      </c>
      <c r="J9" s="146">
        <f>_xlfn.IFNA(IF(C9="Residential",IF(VALUE(INDEX(Producer!$B:$B,MATCH($D9,Producer!$A:$A,0)))&lt;5,Constants!$C$10,""),IF(VALUE(INDEX(Producer!$B:$B,MATCH($D9,Producer!$A:$A,0)))&lt;5,Constants!$C$11,"")),"")</f>
        <v>7.49</v>
      </c>
      <c r="K9" s="216">
        <f>_xlfn.IFNA(IF(($I9)&lt;60,DATE(YEAR(H9)+(5-VALUE(INDEX(Producer!$B:$B,MATCH($D9,Producer!$A:$A,0)))),MONTH(H9),DAY(H9)),""),"")</f>
        <v>47514</v>
      </c>
      <c r="L9" s="153">
        <f t="shared" si="2"/>
        <v>36</v>
      </c>
      <c r="M9" s="146"/>
      <c r="N9" s="148"/>
      <c r="O9" s="148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>
        <f>IF(D9="","",IF(C9="Residential",Constants!$B$10,Constants!$B$11))</f>
        <v>8.24</v>
      </c>
      <c r="AL9" s="146" t="str">
        <f t="shared" si="3"/>
        <v>SVR</v>
      </c>
      <c r="AM9" s="206" t="str">
        <f t="shared" si="4"/>
        <v/>
      </c>
      <c r="AN9" s="146">
        <f t="shared" si="5"/>
        <v>10</v>
      </c>
      <c r="AO9" s="149" t="str">
        <f t="shared" si="6"/>
        <v>Remortgage</v>
      </c>
      <c r="AP9" s="150" t="str">
        <f t="shared" si="7"/>
        <v>ProductTransfer</v>
      </c>
      <c r="AQ9" s="146">
        <f>IFERROR(_xlfn.IFNA(IF($BA9="No",0,IF(INDEX(Constants!B:B,MATCH(($I9/12),Constants!$A:$A,0))=0,0,INDEX(Constants!B:B,MATCH(($I9/12),Constants!$A:$A,0)))),0),"")</f>
        <v>2.5</v>
      </c>
      <c r="AR9" s="146">
        <f>IFERROR(_xlfn.IFNA(IF($BA9="No",0,IF(INDEX(Constants!C:C,MATCH(($I9/12),Constants!$A:$A,0))=0,0,INDEX(Constants!C:C,MATCH(($I9/12),Constants!$A:$A,0)))),0),"")</f>
        <v>1.5</v>
      </c>
      <c r="AS9" s="146">
        <f>IFERROR(_xlfn.IFNA(IF($BA9="No",0,IF(INDEX(Constants!D:D,MATCH(($I9/12),Constants!$A:$A,0))=0,0,INDEX(Constants!D:D,MATCH(($I9/12),Constants!$A:$A,0)))),0),"")</f>
        <v>0</v>
      </c>
      <c r="AT9" s="146">
        <f>IFERROR(_xlfn.IFNA(IF($BA9="No",0,IF(INDEX(Constants!E:E,MATCH(($I9/12),Constants!$A:$A,0))=0,0,INDEX(Constants!E:E,MATCH(($I9/12),Constants!$A:$A,0)))),0),"")</f>
        <v>0</v>
      </c>
      <c r="AU9" s="146">
        <f>IFERROR(_xlfn.IFNA(IF($BA9="No",0,IF(INDEX(Constants!F:F,MATCH(($I9/12),Constants!$A:$A,0))=0,0,INDEX(Constants!F:F,MATCH(($I9/12),Constants!$A:$A,0)))),0),"")</f>
        <v>0</v>
      </c>
      <c r="AV9" s="146">
        <f>IFERROR(_xlfn.IFNA(IF($BA9="No",0,IF(INDEX(Constants!G:G,MATCH(($I9/12),Constants!$A:$A,0))=0,0,INDEX(Constants!G:G,MATCH(($I9/12),Constants!$A:$A,0)))),0),"")</f>
        <v>0</v>
      </c>
      <c r="AW9" s="146">
        <f>IFERROR(_xlfn.IFNA(IF($BA9="No",0,IF(INDEX(Constants!H:H,MATCH(($I9/12),Constants!$A:$A,0))=0,0,INDEX(Constants!H:H,MATCH(($I9/12),Constants!$A:$A,0)))),0),"")</f>
        <v>0</v>
      </c>
      <c r="AX9" s="146">
        <f>IFERROR(_xlfn.IFNA(IF($BA9="No",0,IF(INDEX(Constants!I:I,MATCH(($I9/12),Constants!$A:$A,0))=0,0,INDEX(Constants!I:I,MATCH(($I9/12),Constants!$A:$A,0)))),0),"")</f>
        <v>0</v>
      </c>
      <c r="AY9" s="146">
        <f>IFERROR(_xlfn.IFNA(IF($BA9="No",0,IF(INDEX(Constants!J:J,MATCH(($I9/12),Constants!$A:$A,0))=0,0,INDEX(Constants!J:J,MATCH(($I9/12),Constants!$A:$A,0)))),0),"")</f>
        <v>0</v>
      </c>
      <c r="AZ9" s="146">
        <f>IFERROR(_xlfn.IFNA(IF($BA9="No",0,IF(INDEX(Constants!K:K,MATCH(($I9/12),Constants!$A:$A,0))=0,0,INDEX(Constants!K:K,MATCH(($I9/12),Constants!$A:$A,0)))),0),"")</f>
        <v>0</v>
      </c>
      <c r="BA9" s="147" t="str">
        <f>_xlfn.IFNA(INDEX(Producer!$L:$L,MATCH($D9,Producer!$A:$A,0)),"")</f>
        <v>Yes</v>
      </c>
      <c r="BB9" s="146" t="str">
        <f>IFERROR(IF(AQ9=0,"",IF(($I9/12)=15,_xlfn.CONCAT(Constants!$N$7,TEXT(DATE(YEAR(H9)-(($I9/12)-3),MONTH(H9),DAY(H9)),"dd/mm/yyyy"),", ",Constants!$P$7,TEXT(DATE(YEAR(H9)-(($I9/12)-8),MONTH(H9),DAY(H9)),"dd/mm/yyyy"),", ",Constants!$T$7,TEXT(DATE(YEAR(H9)-(($I9/12)-11),MONTH(H9),DAY(H9)),"dd/mm/yyyy"),", ",Constants!$V$7,TEXT(DATE(YEAR(H9)-(($I9/12)-13),MONTH(H9),DAY(H9)),"dd/mm/yyyy"),", ",Constants!$W$7,TEXT($H9,"dd/mm/yyyy")),IF(($I9/12)=10,_xlfn.CONCAT(Constants!$N$6,TEXT(DATE(YEAR(H9)-(($I9/12)-2),MONTH(H9),DAY(H9)),"dd/mm/yyyy"),", ",Constants!$P$6,TEXT(DATE(YEAR(H9)-(($I9/12)-6),MONTH(H9),DAY(H9)),"dd/mm/yyyy"),", ",Constants!$T$6,TEXT(DATE(YEAR(H9)-(($I9/12)-8),MONTH(H9),DAY(H9)),"dd/mm/yyyy"),", ",Constants!$V$6,TEXT(DATE(YEAR(H9)-(($I9/12)-9),MONTH(H9),DAY(H9)),"dd/mm/yyyy"),", ",Constants!$W$6,TEXT($H9,"dd/mm/yyyy")),IF(($I9/12)=5,_xlfn.CONCAT(Constants!$N$5,TEXT(DATE(YEAR(H9)-(($I9/12)-1),MONTH(H9),DAY(H9)),"dd/mm/yyyy"),", ",Constants!$O$5,TEXT(DATE(YEAR(H9)-(($I9/12)-2),MONTH(H9),DAY(H9)),"dd/mm/yyyy"),", ",Constants!$P$5,TEXT(DATE(YEAR(H9)-(($I9/12)-3),MONTH(H9),DAY(H9)),"dd/mm/yyyy"),", ",Constants!$Q$5,TEXT(DATE(YEAR(H9)-(($I9/12)-4),MONTH(H9),DAY(H9)),"dd/mm/yyyy"),", ",Constants!$R$5,TEXT($H9,"dd/mm/yyyy")),IF(($I9/12)=3,_xlfn.CONCAT(Constants!$N$4,TEXT(DATE(YEAR(H9)-(($I9/12)-1),MONTH(H9),DAY(H9)),"dd/mm/yyyy"),", ",Constants!$O$4,TEXT(DATE(YEAR(H9)-(($I9/12)-2),MONTH(H9),DAY(H9)),"dd/mm/yyyy"),", ",Constants!$P$4,TEXT($H9,"dd/mm/yyyy")),IF(($I9/12)=2,_xlfn.CONCAT(Constants!$N$3,TEXT(DATE(YEAR(H9)-(($I9/12)-1),MONTH(H9),DAY(H9)),"dd/mm/yyyy"),", ",Constants!$O$3,TEXT($H9,"dd/mm/yyyy")),IF(($I9/12)=1,_xlfn.CONCAT(Constants!$N$2,TEXT($H9,"dd/mm/yyyy")),"Update Constants"))))))),"")</f>
        <v>2.5% to 31/01/2026, 1.5% to 31/01/2027</v>
      </c>
      <c r="BC9" s="147">
        <f>_xlfn.IFNA(VALUE(INDEX(Producer!$K:$K,MATCH($D9,Producer!$A:$A,0))),"")</f>
        <v>0</v>
      </c>
      <c r="BD9" s="147" t="str">
        <f>_xlfn.IFNA(INDEX(Producer!$I:$I,MATCH($D9,Producer!$A:$A,0)),"")</f>
        <v>No</v>
      </c>
      <c r="BE9" s="147" t="str">
        <f t="shared" si="8"/>
        <v>Yes</v>
      </c>
      <c r="BF9" s="147"/>
      <c r="BG9" s="147"/>
      <c r="BH9" s="151">
        <f>_xlfn.IFNA(INDEX(Constants!$B:$B,MATCH(BC9,Constants!A:A,0)),"")</f>
        <v>0</v>
      </c>
      <c r="BI9" s="147">
        <f>IF(LEFT(B9,15)="Limited Company",Constants!$D$16,IFERROR(_xlfn.IFNA(IF(C9="Residential",IF(BK9&lt;75,INDEX(Constants!$B:$B,MATCH(VALUE(60)/100,Constants!$A:$A,0)),INDEX(Constants!$B:$B,MATCH(VALUE(BK9)/100,Constants!$A:$A,0))),IF(BK9&lt;60,INDEX(Constants!$C:$C,MATCH(VALUE(60)/100,Constants!$A:$A,0)),INDEX(Constants!$C:$C,MATCH(VALUE(BK9)/100,Constants!$A:$A,0)))),""),""))</f>
        <v>2000000</v>
      </c>
      <c r="BJ9" s="147">
        <f t="shared" si="9"/>
        <v>0</v>
      </c>
      <c r="BK9" s="147">
        <f>_xlfn.IFNA(VALUE(INDEX(Producer!$E:$E,MATCH($D9,Producer!$A:$A,0)))*100,"")</f>
        <v>95</v>
      </c>
      <c r="BL9" s="146" t="str">
        <f>_xlfn.IFNA(IF(IFERROR(FIND("Part &amp; Part",B9),-10)&gt;0,"PP",IF(OR(LEFT(B9,25)="Residential Interest Only",INDEX(Producer!$P:$P,MATCH($D9,Producer!$A:$A,0))="IO",INDEX(Producer!$P:$P,MATCH($D9,Producer!$A:$A,0))="Retirement Interest Only"),"IO",IF($C9="BuyToLet","CI, IO","CI"))),"")</f>
        <v>CI</v>
      </c>
      <c r="BM9" s="152" t="str">
        <f>_xlfn.IFNA(IF(BL9="IO",100%,IF(AND(INDEX(Producer!$P:$P,MATCH($D9,Producer!$A:$A,0))="Residential Interest Only Part &amp; Part",BK9=75),80%,IF(C9="BuyToLet",100%,IF(BL9="Interest Only",100%,IF(AND(INDEX(Producer!$P:$P,MATCH($D9,Producer!$A:$A,0))="Residential Interest Only Part &amp; Part",BK9=60),100%,""))))),"")</f>
        <v/>
      </c>
      <c r="BN9" s="218" t="str">
        <f>_xlfn.IFNA(IF(VALUE(INDEX(Producer!$H:$H,MATCH($D9,Producer!$A:$A,0)))=0,"",VALUE(INDEX(Producer!$H:$H,MATCH($D9,Producer!$A:$A,0)))),"")</f>
        <v/>
      </c>
      <c r="BO9" s="153"/>
      <c r="BP9" s="153"/>
      <c r="BQ9" s="219">
        <f t="shared" si="10"/>
        <v>35</v>
      </c>
      <c r="BR9" s="146"/>
      <c r="BS9" s="146"/>
      <c r="BT9" s="146"/>
      <c r="BU9" s="146"/>
      <c r="BV9" s="219">
        <f t="shared" si="11"/>
        <v>199</v>
      </c>
      <c r="BW9" s="146"/>
      <c r="BX9" s="146"/>
      <c r="BY9" s="146" t="str">
        <f t="shared" si="12"/>
        <v>No</v>
      </c>
      <c r="BZ9" s="146" t="str">
        <f t="shared" si="13"/>
        <v>No</v>
      </c>
      <c r="CA9" s="146" t="str">
        <f t="shared" si="14"/>
        <v>No</v>
      </c>
      <c r="CB9" s="146" t="str">
        <f t="shared" si="15"/>
        <v>No</v>
      </c>
      <c r="CC9" s="146" t="str">
        <f>_xlfn.IFNA(IF(INDEX(Producer!$P:$P,MATCH($D9,Producer!$A:$A,0))="Help to Buy","Only available","No"),"")</f>
        <v>No</v>
      </c>
      <c r="CD9" s="146" t="str">
        <f>_xlfn.IFNA(IF(INDEX(Producer!$P:$P,MATCH($D9,Producer!$A:$A,0))="Shared Ownership","Only available","No"),"")</f>
        <v>No</v>
      </c>
      <c r="CE9" s="146" t="str">
        <f>_xlfn.IFNA(IF(INDEX(Producer!$P:$P,MATCH($D9,Producer!$A:$A,0))="Right to Buy","Only available","No"),"")</f>
        <v>No</v>
      </c>
      <c r="CF9" s="146" t="str">
        <f t="shared" si="16"/>
        <v>No</v>
      </c>
      <c r="CG9" s="146" t="str">
        <f>_xlfn.IFNA(IF(INDEX(Producer!$P:$P,MATCH($D9,Producer!$A:$A,0))="Retirement Interest Only","Only available","No"),"")</f>
        <v>No</v>
      </c>
      <c r="CH9" s="146" t="str">
        <f t="shared" si="17"/>
        <v>No</v>
      </c>
      <c r="CI9" s="146" t="str">
        <f>_xlfn.IFNA(IF(INDEX(Producer!$P:$P,MATCH($D9,Producer!$A:$A,0))="Intermediary Holiday Let","Only available","No"),"")</f>
        <v>No</v>
      </c>
      <c r="CJ9" s="146" t="str">
        <f t="shared" si="18"/>
        <v>No</v>
      </c>
      <c r="CK9" s="146" t="str">
        <f>_xlfn.IFNA(IF(OR(INDEX(Producer!$P:$P,MATCH($D9,Producer!$A:$A,0))="Intermediary Small HMO",INDEX(Producer!$P:$P,MATCH($D9,Producer!$A:$A,0))="Intermediary Large HMO"),"Only available","No"),"")</f>
        <v>No</v>
      </c>
      <c r="CL9" s="146" t="str">
        <f t="shared" si="19"/>
        <v>No</v>
      </c>
      <c r="CM9" s="146" t="str">
        <f t="shared" si="20"/>
        <v>No</v>
      </c>
      <c r="CN9" s="146" t="str">
        <f t="shared" si="21"/>
        <v>No</v>
      </c>
      <c r="CO9" s="146" t="str">
        <f t="shared" si="22"/>
        <v>No</v>
      </c>
      <c r="CP9" s="146" t="str">
        <f t="shared" si="23"/>
        <v>No</v>
      </c>
      <c r="CQ9" s="146" t="str">
        <f t="shared" si="24"/>
        <v>No</v>
      </c>
      <c r="CR9" s="146" t="str">
        <f t="shared" si="25"/>
        <v>Also available</v>
      </c>
      <c r="CS9" s="146" t="str">
        <f t="shared" si="26"/>
        <v>Only available</v>
      </c>
      <c r="CT9" s="146" t="str">
        <f t="shared" si="27"/>
        <v>No</v>
      </c>
      <c r="CU9" s="146"/>
    </row>
    <row r="10" spans="1:99" ht="16.399999999999999" customHeight="1" x14ac:dyDescent="0.35">
      <c r="A10" s="145" t="str">
        <f t="shared" si="0"/>
        <v>Leeds Building Society</v>
      </c>
      <c r="B10" s="145" t="str">
        <f>_xlfn.IFNA(_xlfn.CONCAT(INDEX(Producer!$P:$P,MATCH($D10,Producer!$A:$A,0))," ",IF(INDEX(Producer!$N:$N,MATCH($D10,Producer!$A:$A,0))="Yes","Green ",""),IF(AND(INDEX(Producer!$L:$L,MATCH($D10,Producer!$A:$A,0))="No",INDEX(Producer!$C:$C,MATCH($D10,Producer!$A:$A,0))="Fixed"),"Flexit ",""),INDEX(Producer!$B:$B,MATCH($D10,Producer!$A:$A,0))," Year ",INDEX(Producer!$C:$C,MATCH($D10,Producer!$A:$A,0))," ",VALUE(INDEX(Producer!$E:$E,MATCH($D10,Producer!$A:$A,0)))*100,"% LTV",IF(INDEX(Producer!$N:$N,MATCH($D10,Producer!$A:$A,0))="Yes"," (EPC A-C)","")," - ",IF(INDEX(Producer!$D:$D,MATCH($D10,Producer!$A:$A,0))="DLY","Daily","Annual")),"")</f>
        <v>Residential 2 Year Fixed 150% LTV - Daily</v>
      </c>
      <c r="C10" s="146" t="str">
        <f>_xlfn.IFNA(INDEX(Producer!$Q:$Q,MATCH($D10,Producer!$A:$A,0)),"")</f>
        <v>Residential</v>
      </c>
      <c r="D10" s="146">
        <f>IFERROR(VALUE(MID(Producer!$R$2,IF($D9="",1/0,FIND(_xlfn.CONCAT($D8,$D9),Producer!$R$2)+10),5)),"")</f>
        <v>54189</v>
      </c>
      <c r="E10" s="146" t="str">
        <f t="shared" si="1"/>
        <v>Stepped Fixed</v>
      </c>
      <c r="F10" s="146"/>
      <c r="G10" s="147">
        <f>_xlfn.IFNA(VALUE(INDEX(Producer!$F:$F,MATCH($D10,Producer!$A:$A,0)))*100,"")</f>
        <v>6.99</v>
      </c>
      <c r="H10" s="216">
        <f>_xlfn.IFNA(IFERROR(DATEVALUE(INDEX(Producer!$M:$M,MATCH($D10,Producer!$A:$A,0))),(INDEX(Producer!$M:$M,MATCH($D10,Producer!$A:$A,0)))),"")</f>
        <v>46418</v>
      </c>
      <c r="I10" s="217">
        <f>_xlfn.IFNA(VALUE(INDEX(Producer!$B:$B,MATCH($D10,Producer!$A:$A,0)))*12,"")</f>
        <v>24</v>
      </c>
      <c r="J10" s="146">
        <f>_xlfn.IFNA(IF(C10="Residential",IF(VALUE(INDEX(Producer!$B:$B,MATCH($D10,Producer!$A:$A,0)))&lt;5,Constants!$C$10,""),IF(VALUE(INDEX(Producer!$B:$B,MATCH($D10,Producer!$A:$A,0)))&lt;5,Constants!$C$11,"")),"")</f>
        <v>7.49</v>
      </c>
      <c r="K10" s="216">
        <f>_xlfn.IFNA(IF(($I10)&lt;60,DATE(YEAR(H10)+(5-VALUE(INDEX(Producer!$B:$B,MATCH($D10,Producer!$A:$A,0)))),MONTH(H10),DAY(H10)),""),"")</f>
        <v>47514</v>
      </c>
      <c r="L10" s="153">
        <f t="shared" si="2"/>
        <v>36</v>
      </c>
      <c r="M10" s="146"/>
      <c r="N10" s="148"/>
      <c r="O10" s="148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>
        <f>IF(D10="","",IF(C10="Residential",Constants!$B$10,Constants!$B$11))</f>
        <v>8.24</v>
      </c>
      <c r="AL10" s="146" t="str">
        <f t="shared" si="3"/>
        <v>SVR</v>
      </c>
      <c r="AM10" s="206" t="str">
        <f t="shared" si="4"/>
        <v/>
      </c>
      <c r="AN10" s="146">
        <f t="shared" si="5"/>
        <v>10</v>
      </c>
      <c r="AO10" s="149" t="str">
        <f t="shared" si="6"/>
        <v>Remortgage</v>
      </c>
      <c r="AP10" s="150" t="str">
        <f t="shared" si="7"/>
        <v>ProductTransfer</v>
      </c>
      <c r="AQ10" s="146">
        <f>IFERROR(_xlfn.IFNA(IF($BA10="No",0,IF(INDEX(Constants!B:B,MATCH(($I10/12),Constants!$A:$A,0))=0,0,INDEX(Constants!B:B,MATCH(($I10/12),Constants!$A:$A,0)))),0),"")</f>
        <v>2.5</v>
      </c>
      <c r="AR10" s="146">
        <f>IFERROR(_xlfn.IFNA(IF($BA10="No",0,IF(INDEX(Constants!C:C,MATCH(($I10/12),Constants!$A:$A,0))=0,0,INDEX(Constants!C:C,MATCH(($I10/12),Constants!$A:$A,0)))),0),"")</f>
        <v>1.5</v>
      </c>
      <c r="AS10" s="146">
        <f>IFERROR(_xlfn.IFNA(IF($BA10="No",0,IF(INDEX(Constants!D:D,MATCH(($I10/12),Constants!$A:$A,0))=0,0,INDEX(Constants!D:D,MATCH(($I10/12),Constants!$A:$A,0)))),0),"")</f>
        <v>0</v>
      </c>
      <c r="AT10" s="146">
        <f>IFERROR(_xlfn.IFNA(IF($BA10="No",0,IF(INDEX(Constants!E:E,MATCH(($I10/12),Constants!$A:$A,0))=0,0,INDEX(Constants!E:E,MATCH(($I10/12),Constants!$A:$A,0)))),0),"")</f>
        <v>0</v>
      </c>
      <c r="AU10" s="146">
        <f>IFERROR(_xlfn.IFNA(IF($BA10="No",0,IF(INDEX(Constants!F:F,MATCH(($I10/12),Constants!$A:$A,0))=0,0,INDEX(Constants!F:F,MATCH(($I10/12),Constants!$A:$A,0)))),0),"")</f>
        <v>0</v>
      </c>
      <c r="AV10" s="146">
        <f>IFERROR(_xlfn.IFNA(IF($BA10="No",0,IF(INDEX(Constants!G:G,MATCH(($I10/12),Constants!$A:$A,0))=0,0,INDEX(Constants!G:G,MATCH(($I10/12),Constants!$A:$A,0)))),0),"")</f>
        <v>0</v>
      </c>
      <c r="AW10" s="146">
        <f>IFERROR(_xlfn.IFNA(IF($BA10="No",0,IF(INDEX(Constants!H:H,MATCH(($I10/12),Constants!$A:$A,0))=0,0,INDEX(Constants!H:H,MATCH(($I10/12),Constants!$A:$A,0)))),0),"")</f>
        <v>0</v>
      </c>
      <c r="AX10" s="146">
        <f>IFERROR(_xlfn.IFNA(IF($BA10="No",0,IF(INDEX(Constants!I:I,MATCH(($I10/12),Constants!$A:$A,0))=0,0,INDEX(Constants!I:I,MATCH(($I10/12),Constants!$A:$A,0)))),0),"")</f>
        <v>0</v>
      </c>
      <c r="AY10" s="146">
        <f>IFERROR(_xlfn.IFNA(IF($BA10="No",0,IF(INDEX(Constants!J:J,MATCH(($I10/12),Constants!$A:$A,0))=0,0,INDEX(Constants!J:J,MATCH(($I10/12),Constants!$A:$A,0)))),0),"")</f>
        <v>0</v>
      </c>
      <c r="AZ10" s="146">
        <f>IFERROR(_xlfn.IFNA(IF($BA10="No",0,IF(INDEX(Constants!K:K,MATCH(($I10/12),Constants!$A:$A,0))=0,0,INDEX(Constants!K:K,MATCH(($I10/12),Constants!$A:$A,0)))),0),"")</f>
        <v>0</v>
      </c>
      <c r="BA10" s="147" t="str">
        <f>_xlfn.IFNA(INDEX(Producer!$L:$L,MATCH($D10,Producer!$A:$A,0)),"")</f>
        <v>Yes</v>
      </c>
      <c r="BB10" s="146" t="str">
        <f>IFERROR(IF(AQ10=0,"",IF(($I10/12)=15,_xlfn.CONCAT(Constants!$N$7,TEXT(DATE(YEAR(H10)-(($I10/12)-3),MONTH(H10),DAY(H10)),"dd/mm/yyyy"),", ",Constants!$P$7,TEXT(DATE(YEAR(H10)-(($I10/12)-8),MONTH(H10),DAY(H10)),"dd/mm/yyyy"),", ",Constants!$T$7,TEXT(DATE(YEAR(H10)-(($I10/12)-11),MONTH(H10),DAY(H10)),"dd/mm/yyyy"),", ",Constants!$V$7,TEXT(DATE(YEAR(H10)-(($I10/12)-13),MONTH(H10),DAY(H10)),"dd/mm/yyyy"),", ",Constants!$W$7,TEXT($H10,"dd/mm/yyyy")),IF(($I10/12)=10,_xlfn.CONCAT(Constants!$N$6,TEXT(DATE(YEAR(H10)-(($I10/12)-2),MONTH(H10),DAY(H10)),"dd/mm/yyyy"),", ",Constants!$P$6,TEXT(DATE(YEAR(H10)-(($I10/12)-6),MONTH(H10),DAY(H10)),"dd/mm/yyyy"),", ",Constants!$T$6,TEXT(DATE(YEAR(H10)-(($I10/12)-8),MONTH(H10),DAY(H10)),"dd/mm/yyyy"),", ",Constants!$V$6,TEXT(DATE(YEAR(H10)-(($I10/12)-9),MONTH(H10),DAY(H10)),"dd/mm/yyyy"),", ",Constants!$W$6,TEXT($H10,"dd/mm/yyyy")),IF(($I10/12)=5,_xlfn.CONCAT(Constants!$N$5,TEXT(DATE(YEAR(H10)-(($I10/12)-1),MONTH(H10),DAY(H10)),"dd/mm/yyyy"),", ",Constants!$O$5,TEXT(DATE(YEAR(H10)-(($I10/12)-2),MONTH(H10),DAY(H10)),"dd/mm/yyyy"),", ",Constants!$P$5,TEXT(DATE(YEAR(H10)-(($I10/12)-3),MONTH(H10),DAY(H10)),"dd/mm/yyyy"),", ",Constants!$Q$5,TEXT(DATE(YEAR(H10)-(($I10/12)-4),MONTH(H10),DAY(H10)),"dd/mm/yyyy"),", ",Constants!$R$5,TEXT($H10,"dd/mm/yyyy")),IF(($I10/12)=3,_xlfn.CONCAT(Constants!$N$4,TEXT(DATE(YEAR(H10)-(($I10/12)-1),MONTH(H10),DAY(H10)),"dd/mm/yyyy"),", ",Constants!$O$4,TEXT(DATE(YEAR(H10)-(($I10/12)-2),MONTH(H10),DAY(H10)),"dd/mm/yyyy"),", ",Constants!$P$4,TEXT($H10,"dd/mm/yyyy")),IF(($I10/12)=2,_xlfn.CONCAT(Constants!$N$3,TEXT(DATE(YEAR(H10)-(($I10/12)-1),MONTH(H10),DAY(H10)),"dd/mm/yyyy"),", ",Constants!$O$3,TEXT($H10,"dd/mm/yyyy")),IF(($I10/12)=1,_xlfn.CONCAT(Constants!$N$2,TEXT($H10,"dd/mm/yyyy")),"Update Constants"))))))),"")</f>
        <v>2.5% to 31/01/2026, 1.5% to 31/01/2027</v>
      </c>
      <c r="BC10" s="147">
        <f>_xlfn.IFNA(VALUE(INDEX(Producer!$K:$K,MATCH($D10,Producer!$A:$A,0))),"")</f>
        <v>0</v>
      </c>
      <c r="BD10" s="147" t="str">
        <f>_xlfn.IFNA(INDEX(Producer!$I:$I,MATCH($D10,Producer!$A:$A,0)),"")</f>
        <v>No</v>
      </c>
      <c r="BE10" s="147" t="str">
        <f t="shared" si="8"/>
        <v>Yes</v>
      </c>
      <c r="BF10" s="147"/>
      <c r="BG10" s="147"/>
      <c r="BH10" s="151">
        <f>_xlfn.IFNA(INDEX(Constants!$B:$B,MATCH(BC10,Constants!A:A,0)),"")</f>
        <v>0</v>
      </c>
      <c r="BI10" s="147" t="str">
        <f>IF(LEFT(B10,15)="Limited Company",Constants!$D$16,IFERROR(_xlfn.IFNA(IF(C10="Residential",IF(BK10&lt;75,INDEX(Constants!$B:$B,MATCH(VALUE(60)/100,Constants!$A:$A,0)),INDEX(Constants!$B:$B,MATCH(VALUE(BK10)/100,Constants!$A:$A,0))),IF(BK10&lt;60,INDEX(Constants!$C:$C,MATCH(VALUE(60)/100,Constants!$A:$A,0)),INDEX(Constants!$C:$C,MATCH(VALUE(BK10)/100,Constants!$A:$A,0)))),""),""))</f>
        <v/>
      </c>
      <c r="BJ10" s="147">
        <f t="shared" si="9"/>
        <v>0</v>
      </c>
      <c r="BK10" s="147">
        <f>_xlfn.IFNA(VALUE(INDEX(Producer!$E:$E,MATCH($D10,Producer!$A:$A,0)))*100,"")</f>
        <v>150</v>
      </c>
      <c r="BL10" s="146" t="str">
        <f>_xlfn.IFNA(IF(IFERROR(FIND("Part &amp; Part",B10),-10)&gt;0,"PP",IF(OR(LEFT(B10,25)="Residential Interest Only",INDEX(Producer!$P:$P,MATCH($D10,Producer!$A:$A,0))="IO",INDEX(Producer!$P:$P,MATCH($D10,Producer!$A:$A,0))="Retirement Interest Only"),"IO",IF($C10="BuyToLet","CI, IO","CI"))),"")</f>
        <v>CI</v>
      </c>
      <c r="BM10" s="152" t="str">
        <f>_xlfn.IFNA(IF(BL10="IO",100%,IF(AND(INDEX(Producer!$P:$P,MATCH($D10,Producer!$A:$A,0))="Residential Interest Only Part &amp; Part",BK10=75),80%,IF(C10="BuyToLet",100%,IF(BL10="Interest Only",100%,IF(AND(INDEX(Producer!$P:$P,MATCH($D10,Producer!$A:$A,0))="Residential Interest Only Part &amp; Part",BK10=60),100%,""))))),"")</f>
        <v/>
      </c>
      <c r="BN10" s="218" t="str">
        <f>_xlfn.IFNA(IF(VALUE(INDEX(Producer!$H:$H,MATCH($D10,Producer!$A:$A,0)))=0,"",VALUE(INDEX(Producer!$H:$H,MATCH($D10,Producer!$A:$A,0)))),"")</f>
        <v/>
      </c>
      <c r="BO10" s="153"/>
      <c r="BP10" s="153"/>
      <c r="BQ10" s="219">
        <f t="shared" si="10"/>
        <v>35</v>
      </c>
      <c r="BR10" s="146"/>
      <c r="BS10" s="146"/>
      <c r="BT10" s="146"/>
      <c r="BU10" s="146"/>
      <c r="BV10" s="219">
        <f t="shared" si="11"/>
        <v>199</v>
      </c>
      <c r="BW10" s="146"/>
      <c r="BX10" s="146"/>
      <c r="BY10" s="146" t="str">
        <f t="shared" si="12"/>
        <v>No</v>
      </c>
      <c r="BZ10" s="146" t="str">
        <f t="shared" si="13"/>
        <v>No</v>
      </c>
      <c r="CA10" s="146" t="str">
        <f t="shared" si="14"/>
        <v>No</v>
      </c>
      <c r="CB10" s="146" t="str">
        <f t="shared" si="15"/>
        <v>No</v>
      </c>
      <c r="CC10" s="146" t="str">
        <f>_xlfn.IFNA(IF(INDEX(Producer!$P:$P,MATCH($D10,Producer!$A:$A,0))="Help to Buy","Only available","No"),"")</f>
        <v>No</v>
      </c>
      <c r="CD10" s="146" t="str">
        <f>_xlfn.IFNA(IF(INDEX(Producer!$P:$P,MATCH($D10,Producer!$A:$A,0))="Shared Ownership","Only available","No"),"")</f>
        <v>No</v>
      </c>
      <c r="CE10" s="146" t="str">
        <f>_xlfn.IFNA(IF(INDEX(Producer!$P:$P,MATCH($D10,Producer!$A:$A,0))="Right to Buy","Only available","No"),"")</f>
        <v>No</v>
      </c>
      <c r="CF10" s="146" t="str">
        <f t="shared" si="16"/>
        <v>No</v>
      </c>
      <c r="CG10" s="146" t="str">
        <f>_xlfn.IFNA(IF(INDEX(Producer!$P:$P,MATCH($D10,Producer!$A:$A,0))="Retirement Interest Only","Only available","No"),"")</f>
        <v>No</v>
      </c>
      <c r="CH10" s="146" t="str">
        <f t="shared" si="17"/>
        <v>No</v>
      </c>
      <c r="CI10" s="146" t="str">
        <f>_xlfn.IFNA(IF(INDEX(Producer!$P:$P,MATCH($D10,Producer!$A:$A,0))="Intermediary Holiday Let","Only available","No"),"")</f>
        <v>No</v>
      </c>
      <c r="CJ10" s="146" t="str">
        <f t="shared" si="18"/>
        <v>No</v>
      </c>
      <c r="CK10" s="146" t="str">
        <f>_xlfn.IFNA(IF(OR(INDEX(Producer!$P:$P,MATCH($D10,Producer!$A:$A,0))="Intermediary Small HMO",INDEX(Producer!$P:$P,MATCH($D10,Producer!$A:$A,0))="Intermediary Large HMO"),"Only available","No"),"")</f>
        <v>No</v>
      </c>
      <c r="CL10" s="146" t="str">
        <f t="shared" si="19"/>
        <v>No</v>
      </c>
      <c r="CM10" s="146" t="str">
        <f t="shared" si="20"/>
        <v>No</v>
      </c>
      <c r="CN10" s="146" t="str">
        <f t="shared" si="21"/>
        <v>No</v>
      </c>
      <c r="CO10" s="146" t="str">
        <f t="shared" si="22"/>
        <v>No</v>
      </c>
      <c r="CP10" s="146" t="str">
        <f t="shared" si="23"/>
        <v>No</v>
      </c>
      <c r="CQ10" s="146" t="str">
        <f t="shared" si="24"/>
        <v>No</v>
      </c>
      <c r="CR10" s="146" t="str">
        <f t="shared" si="25"/>
        <v>Also available</v>
      </c>
      <c r="CS10" s="146" t="str">
        <f t="shared" si="26"/>
        <v>Only available</v>
      </c>
      <c r="CT10" s="146" t="str">
        <f t="shared" si="27"/>
        <v>No</v>
      </c>
      <c r="CU10" s="146"/>
    </row>
    <row r="11" spans="1:99" ht="16.399999999999999" customHeight="1" x14ac:dyDescent="0.35">
      <c r="A11" s="145" t="str">
        <f t="shared" si="0"/>
        <v>Leeds Building Society</v>
      </c>
      <c r="B11" s="145" t="str">
        <f>_xlfn.IFNA(_xlfn.CONCAT(INDEX(Producer!$P:$P,MATCH($D11,Producer!$A:$A,0))," ",IF(INDEX(Producer!$N:$N,MATCH($D11,Producer!$A:$A,0))="Yes","Green ",""),IF(AND(INDEX(Producer!$L:$L,MATCH($D11,Producer!$A:$A,0))="No",INDEX(Producer!$C:$C,MATCH($D11,Producer!$A:$A,0))="Fixed"),"Flexit ",""),INDEX(Producer!$B:$B,MATCH($D11,Producer!$A:$A,0))," Year ",INDEX(Producer!$C:$C,MATCH($D11,Producer!$A:$A,0))," ",VALUE(INDEX(Producer!$E:$E,MATCH($D11,Producer!$A:$A,0)))*100,"% LTV",IF(INDEX(Producer!$N:$N,MATCH($D11,Producer!$A:$A,0))="Yes"," (EPC A-C)","")," - ",IF(INDEX(Producer!$D:$D,MATCH($D11,Producer!$A:$A,0))="DLY","Daily","Annual")),"")</f>
        <v>Residential 5 Year Fixed 65% LTV - Daily</v>
      </c>
      <c r="C11" s="146" t="str">
        <f>_xlfn.IFNA(INDEX(Producer!$Q:$Q,MATCH($D11,Producer!$A:$A,0)),"")</f>
        <v>Residential</v>
      </c>
      <c r="D11" s="146">
        <f>IFERROR(VALUE(MID(Producer!$R$2,IF($D10="",1/0,FIND(_xlfn.CONCAT($D9,$D10),Producer!$R$2)+10),5)),"")</f>
        <v>54188</v>
      </c>
      <c r="E11" s="146" t="str">
        <f t="shared" si="1"/>
        <v>Fixed</v>
      </c>
      <c r="F11" s="146"/>
      <c r="G11" s="147">
        <f>_xlfn.IFNA(VALUE(INDEX(Producer!$F:$F,MATCH($D11,Producer!$A:$A,0)))*100,"")</f>
        <v>4.01</v>
      </c>
      <c r="H11" s="216">
        <f>_xlfn.IFNA(IFERROR(DATEVALUE(INDEX(Producer!$M:$M,MATCH($D11,Producer!$A:$A,0))),(INDEX(Producer!$M:$M,MATCH($D11,Producer!$A:$A,0)))),"")</f>
        <v>47514</v>
      </c>
      <c r="I11" s="217">
        <f>_xlfn.IFNA(VALUE(INDEX(Producer!$B:$B,MATCH($D11,Producer!$A:$A,0)))*12,"")</f>
        <v>60</v>
      </c>
      <c r="J11" s="146" t="str">
        <f>_xlfn.IFNA(IF(C11="Residential",IF(VALUE(INDEX(Producer!$B:$B,MATCH($D11,Producer!$A:$A,0)))&lt;5,Constants!$C$10,""),IF(VALUE(INDEX(Producer!$B:$B,MATCH($D11,Producer!$A:$A,0)))&lt;5,Constants!$C$11,"")),"")</f>
        <v/>
      </c>
      <c r="K11" s="216" t="str">
        <f>_xlfn.IFNA(IF(($I11)&lt;60,DATE(YEAR(H11)+(5-VALUE(INDEX(Producer!$B:$B,MATCH($D11,Producer!$A:$A,0)))),MONTH(H11),DAY(H11)),""),"")</f>
        <v/>
      </c>
      <c r="L11" s="153" t="str">
        <f t="shared" si="2"/>
        <v/>
      </c>
      <c r="M11" s="146"/>
      <c r="N11" s="148"/>
      <c r="O11" s="148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>
        <f>IF(D11="","",IF(C11="Residential",Constants!$B$10,Constants!$B$11))</f>
        <v>8.24</v>
      </c>
      <c r="AL11" s="146" t="str">
        <f t="shared" si="3"/>
        <v>SVR</v>
      </c>
      <c r="AM11" s="206" t="str">
        <f t="shared" si="4"/>
        <v/>
      </c>
      <c r="AN11" s="146">
        <f t="shared" si="5"/>
        <v>10</v>
      </c>
      <c r="AO11" s="149" t="str">
        <f t="shared" si="6"/>
        <v>Remortgage</v>
      </c>
      <c r="AP11" s="150" t="str">
        <f t="shared" si="7"/>
        <v>ProductTransfer</v>
      </c>
      <c r="AQ11" s="146">
        <f>IFERROR(_xlfn.IFNA(IF($BA11="No",0,IF(INDEX(Constants!B:B,MATCH(($I11/12),Constants!$A:$A,0))=0,0,INDEX(Constants!B:B,MATCH(($I11/12),Constants!$A:$A,0)))),0),"")</f>
        <v>5</v>
      </c>
      <c r="AR11" s="146">
        <f>IFERROR(_xlfn.IFNA(IF($BA11="No",0,IF(INDEX(Constants!C:C,MATCH(($I11/12),Constants!$A:$A,0))=0,0,INDEX(Constants!C:C,MATCH(($I11/12),Constants!$A:$A,0)))),0),"")</f>
        <v>5</v>
      </c>
      <c r="AS11" s="146">
        <f>IFERROR(_xlfn.IFNA(IF($BA11="No",0,IF(INDEX(Constants!D:D,MATCH(($I11/12),Constants!$A:$A,0))=0,0,INDEX(Constants!D:D,MATCH(($I11/12),Constants!$A:$A,0)))),0),"")</f>
        <v>4</v>
      </c>
      <c r="AT11" s="146">
        <f>IFERROR(_xlfn.IFNA(IF($BA11="No",0,IF(INDEX(Constants!E:E,MATCH(($I11/12),Constants!$A:$A,0))=0,0,INDEX(Constants!E:E,MATCH(($I11/12),Constants!$A:$A,0)))),0),"")</f>
        <v>3</v>
      </c>
      <c r="AU11" s="146">
        <f>IFERROR(_xlfn.IFNA(IF($BA11="No",0,IF(INDEX(Constants!F:F,MATCH(($I11/12),Constants!$A:$A,0))=0,0,INDEX(Constants!F:F,MATCH(($I11/12),Constants!$A:$A,0)))),0),"")</f>
        <v>2</v>
      </c>
      <c r="AV11" s="146">
        <f>IFERROR(_xlfn.IFNA(IF($BA11="No",0,IF(INDEX(Constants!G:G,MATCH(($I11/12),Constants!$A:$A,0))=0,0,INDEX(Constants!G:G,MATCH(($I11/12),Constants!$A:$A,0)))),0),"")</f>
        <v>0</v>
      </c>
      <c r="AW11" s="146">
        <f>IFERROR(_xlfn.IFNA(IF($BA11="No",0,IF(INDEX(Constants!H:H,MATCH(($I11/12),Constants!$A:$A,0))=0,0,INDEX(Constants!H:H,MATCH(($I11/12),Constants!$A:$A,0)))),0),"")</f>
        <v>0</v>
      </c>
      <c r="AX11" s="146">
        <f>IFERROR(_xlfn.IFNA(IF($BA11="No",0,IF(INDEX(Constants!I:I,MATCH(($I11/12),Constants!$A:$A,0))=0,0,INDEX(Constants!I:I,MATCH(($I11/12),Constants!$A:$A,0)))),0),"")</f>
        <v>0</v>
      </c>
      <c r="AY11" s="146">
        <f>IFERROR(_xlfn.IFNA(IF($BA11="No",0,IF(INDEX(Constants!J:J,MATCH(($I11/12),Constants!$A:$A,0))=0,0,INDEX(Constants!J:J,MATCH(($I11/12),Constants!$A:$A,0)))),0),"")</f>
        <v>0</v>
      </c>
      <c r="AZ11" s="146">
        <f>IFERROR(_xlfn.IFNA(IF($BA11="No",0,IF(INDEX(Constants!K:K,MATCH(($I11/12),Constants!$A:$A,0))=0,0,INDEX(Constants!K:K,MATCH(($I11/12),Constants!$A:$A,0)))),0),"")</f>
        <v>0</v>
      </c>
      <c r="BA11" s="147" t="str">
        <f>_xlfn.IFNA(INDEX(Producer!$L:$L,MATCH($D11,Producer!$A:$A,0)),"")</f>
        <v>Yes</v>
      </c>
      <c r="BB11" s="146" t="str">
        <f>IFERROR(IF(AQ11=0,"",IF(($I11/12)=15,_xlfn.CONCAT(Constants!$N$7,TEXT(DATE(YEAR(H11)-(($I11/12)-3),MONTH(H11),DAY(H11)),"dd/mm/yyyy"),", ",Constants!$P$7,TEXT(DATE(YEAR(H11)-(($I11/12)-8),MONTH(H11),DAY(H11)),"dd/mm/yyyy"),", ",Constants!$T$7,TEXT(DATE(YEAR(H11)-(($I11/12)-11),MONTH(H11),DAY(H11)),"dd/mm/yyyy"),", ",Constants!$V$7,TEXT(DATE(YEAR(H11)-(($I11/12)-13),MONTH(H11),DAY(H11)),"dd/mm/yyyy"),", ",Constants!$W$7,TEXT($H11,"dd/mm/yyyy")),IF(($I11/12)=10,_xlfn.CONCAT(Constants!$N$6,TEXT(DATE(YEAR(H11)-(($I11/12)-2),MONTH(H11),DAY(H11)),"dd/mm/yyyy"),", ",Constants!$P$6,TEXT(DATE(YEAR(H11)-(($I11/12)-6),MONTH(H11),DAY(H11)),"dd/mm/yyyy"),", ",Constants!$T$6,TEXT(DATE(YEAR(H11)-(($I11/12)-8),MONTH(H11),DAY(H11)),"dd/mm/yyyy"),", ",Constants!$V$6,TEXT(DATE(YEAR(H11)-(($I11/12)-9),MONTH(H11),DAY(H11)),"dd/mm/yyyy"),", ",Constants!$W$6,TEXT($H11,"dd/mm/yyyy")),IF(($I11/12)=5,_xlfn.CONCAT(Constants!$N$5,TEXT(DATE(YEAR(H11)-(($I11/12)-1),MONTH(H11),DAY(H11)),"dd/mm/yyyy"),", ",Constants!$O$5,TEXT(DATE(YEAR(H11)-(($I11/12)-2),MONTH(H11),DAY(H11)),"dd/mm/yyyy"),", ",Constants!$P$5,TEXT(DATE(YEAR(H11)-(($I11/12)-3),MONTH(H11),DAY(H11)),"dd/mm/yyyy"),", ",Constants!$Q$5,TEXT(DATE(YEAR(H11)-(($I11/12)-4),MONTH(H11),DAY(H11)),"dd/mm/yyyy"),", ",Constants!$R$5,TEXT($H11,"dd/mm/yyyy")),IF(($I11/12)=3,_xlfn.CONCAT(Constants!$N$4,TEXT(DATE(YEAR(H11)-(($I11/12)-1),MONTH(H11),DAY(H11)),"dd/mm/yyyy"),", ",Constants!$O$4,TEXT(DATE(YEAR(H11)-(($I11/12)-2),MONTH(H11),DAY(H11)),"dd/mm/yyyy"),", ",Constants!$P$4,TEXT($H11,"dd/mm/yyyy")),IF(($I11/12)=2,_xlfn.CONCAT(Constants!$N$3,TEXT(DATE(YEAR(H11)-(($I11/12)-1),MONTH(H11),DAY(H11)),"dd/mm/yyyy"),", ",Constants!$O$3,TEXT($H11,"dd/mm/yyyy")),IF(($I11/12)=1,_xlfn.CONCAT(Constants!$N$2,TEXT($H11,"dd/mm/yyyy")),"Update Constants"))))))),"")</f>
        <v>5% to 31/01/2026, 5% to 31/01/2027, 4% to 31/01/2028, 3% to 31/01/2029, 2% to 31/01/2030</v>
      </c>
      <c r="BC11" s="147">
        <f>_xlfn.IFNA(VALUE(INDEX(Producer!$K:$K,MATCH($D11,Producer!$A:$A,0))),"")</f>
        <v>0</v>
      </c>
      <c r="BD11" s="147" t="str">
        <f>_xlfn.IFNA(INDEX(Producer!$I:$I,MATCH($D11,Producer!$A:$A,0)),"")</f>
        <v>No</v>
      </c>
      <c r="BE11" s="147" t="str">
        <f t="shared" si="8"/>
        <v>Yes</v>
      </c>
      <c r="BF11" s="147"/>
      <c r="BG11" s="147"/>
      <c r="BH11" s="151">
        <f>_xlfn.IFNA(INDEX(Constants!$B:$B,MATCH(BC11,Constants!A:A,0)),"")</f>
        <v>0</v>
      </c>
      <c r="BI11" s="147">
        <f>IF(LEFT(B11,15)="Limited Company",Constants!$D$16,IFERROR(_xlfn.IFNA(IF(C11="Residential",IF(BK11&lt;75,INDEX(Constants!$B:$B,MATCH(VALUE(60)/100,Constants!$A:$A,0)),INDEX(Constants!$B:$B,MATCH(VALUE(BK11)/100,Constants!$A:$A,0))),IF(BK11&lt;60,INDEX(Constants!$C:$C,MATCH(VALUE(60)/100,Constants!$A:$A,0)),INDEX(Constants!$C:$C,MATCH(VALUE(BK11)/100,Constants!$A:$A,0)))),""),""))</f>
        <v>2000000</v>
      </c>
      <c r="BJ11" s="147">
        <f t="shared" si="9"/>
        <v>0</v>
      </c>
      <c r="BK11" s="147">
        <f>_xlfn.IFNA(VALUE(INDEX(Producer!$E:$E,MATCH($D11,Producer!$A:$A,0)))*100,"")</f>
        <v>65</v>
      </c>
      <c r="BL11" s="146" t="str">
        <f>_xlfn.IFNA(IF(IFERROR(FIND("Part &amp; Part",B11),-10)&gt;0,"PP",IF(OR(LEFT(B11,25)="Residential Interest Only",INDEX(Producer!$P:$P,MATCH($D11,Producer!$A:$A,0))="IO",INDEX(Producer!$P:$P,MATCH($D11,Producer!$A:$A,0))="Retirement Interest Only"),"IO",IF($C11="BuyToLet","CI, IO","CI"))),"")</f>
        <v>CI</v>
      </c>
      <c r="BM11" s="152" t="str">
        <f>_xlfn.IFNA(IF(BL11="IO",100%,IF(AND(INDEX(Producer!$P:$P,MATCH($D11,Producer!$A:$A,0))="Residential Interest Only Part &amp; Part",BK11=75),80%,IF(C11="BuyToLet",100%,IF(BL11="Interest Only",100%,IF(AND(INDEX(Producer!$P:$P,MATCH($D11,Producer!$A:$A,0))="Residential Interest Only Part &amp; Part",BK11=60),100%,""))))),"")</f>
        <v/>
      </c>
      <c r="BN11" s="218">
        <f>_xlfn.IFNA(IF(VALUE(INDEX(Producer!$H:$H,MATCH($D11,Producer!$A:$A,0)))=0,"",VALUE(INDEX(Producer!$H:$H,MATCH($D11,Producer!$A:$A,0)))),"")</f>
        <v>1599</v>
      </c>
      <c r="BO11" s="153"/>
      <c r="BP11" s="153"/>
      <c r="BQ11" s="219">
        <f t="shared" si="10"/>
        <v>35</v>
      </c>
      <c r="BR11" s="146"/>
      <c r="BS11" s="146"/>
      <c r="BT11" s="146"/>
      <c r="BU11" s="146"/>
      <c r="BV11" s="219">
        <f t="shared" si="11"/>
        <v>199</v>
      </c>
      <c r="BW11" s="146"/>
      <c r="BX11" s="146"/>
      <c r="BY11" s="146" t="str">
        <f t="shared" si="12"/>
        <v>No</v>
      </c>
      <c r="BZ11" s="146" t="str">
        <f t="shared" si="13"/>
        <v>No</v>
      </c>
      <c r="CA11" s="146" t="str">
        <f t="shared" si="14"/>
        <v>No</v>
      </c>
      <c r="CB11" s="146" t="str">
        <f t="shared" si="15"/>
        <v>No</v>
      </c>
      <c r="CC11" s="146" t="str">
        <f>_xlfn.IFNA(IF(INDEX(Producer!$P:$P,MATCH($D11,Producer!$A:$A,0))="Help to Buy","Only available","No"),"")</f>
        <v>No</v>
      </c>
      <c r="CD11" s="146" t="str">
        <f>_xlfn.IFNA(IF(INDEX(Producer!$P:$P,MATCH($D11,Producer!$A:$A,0))="Shared Ownership","Only available","No"),"")</f>
        <v>No</v>
      </c>
      <c r="CE11" s="146" t="str">
        <f>_xlfn.IFNA(IF(INDEX(Producer!$P:$P,MATCH($D11,Producer!$A:$A,0))="Right to Buy","Only available","No"),"")</f>
        <v>No</v>
      </c>
      <c r="CF11" s="146" t="str">
        <f t="shared" si="16"/>
        <v>No</v>
      </c>
      <c r="CG11" s="146" t="str">
        <f>_xlfn.IFNA(IF(INDEX(Producer!$P:$P,MATCH($D11,Producer!$A:$A,0))="Retirement Interest Only","Only available","No"),"")</f>
        <v>No</v>
      </c>
      <c r="CH11" s="146" t="str">
        <f t="shared" si="17"/>
        <v>No</v>
      </c>
      <c r="CI11" s="146" t="str">
        <f>_xlfn.IFNA(IF(INDEX(Producer!$P:$P,MATCH($D11,Producer!$A:$A,0))="Intermediary Holiday Let","Only available","No"),"")</f>
        <v>No</v>
      </c>
      <c r="CJ11" s="146" t="str">
        <f t="shared" si="18"/>
        <v>No</v>
      </c>
      <c r="CK11" s="146" t="str">
        <f>_xlfn.IFNA(IF(OR(INDEX(Producer!$P:$P,MATCH($D11,Producer!$A:$A,0))="Intermediary Small HMO",INDEX(Producer!$P:$P,MATCH($D11,Producer!$A:$A,0))="Intermediary Large HMO"),"Only available","No"),"")</f>
        <v>No</v>
      </c>
      <c r="CL11" s="146" t="str">
        <f t="shared" si="19"/>
        <v>No</v>
      </c>
      <c r="CM11" s="146" t="str">
        <f t="shared" si="20"/>
        <v>No</v>
      </c>
      <c r="CN11" s="146" t="str">
        <f t="shared" si="21"/>
        <v>No</v>
      </c>
      <c r="CO11" s="146" t="str">
        <f t="shared" si="22"/>
        <v>Also available</v>
      </c>
      <c r="CP11" s="146" t="str">
        <f t="shared" si="23"/>
        <v>No</v>
      </c>
      <c r="CQ11" s="146" t="str">
        <f t="shared" si="24"/>
        <v>No</v>
      </c>
      <c r="CR11" s="146" t="str">
        <f t="shared" si="25"/>
        <v>Also available</v>
      </c>
      <c r="CS11" s="146" t="str">
        <f t="shared" si="26"/>
        <v>Only available</v>
      </c>
      <c r="CT11" s="146" t="str">
        <f t="shared" si="27"/>
        <v>No</v>
      </c>
      <c r="CU11" s="146"/>
    </row>
    <row r="12" spans="1:99" ht="16.399999999999999" customHeight="1" x14ac:dyDescent="0.35">
      <c r="A12" s="145" t="str">
        <f t="shared" si="0"/>
        <v>Leeds Building Society</v>
      </c>
      <c r="B12" s="145" t="str">
        <f>_xlfn.IFNA(_xlfn.CONCAT(INDEX(Producer!$P:$P,MATCH($D12,Producer!$A:$A,0))," ",IF(INDEX(Producer!$N:$N,MATCH($D12,Producer!$A:$A,0))="Yes","Green ",""),IF(AND(INDEX(Producer!$L:$L,MATCH($D12,Producer!$A:$A,0))="No",INDEX(Producer!$C:$C,MATCH($D12,Producer!$A:$A,0))="Fixed"),"Flexit ",""),INDEX(Producer!$B:$B,MATCH($D12,Producer!$A:$A,0))," Year ",INDEX(Producer!$C:$C,MATCH($D12,Producer!$A:$A,0))," ",VALUE(INDEX(Producer!$E:$E,MATCH($D12,Producer!$A:$A,0)))*100,"% LTV",IF(INDEX(Producer!$N:$N,MATCH($D12,Producer!$A:$A,0))="Yes"," (EPC A-C)","")," - ",IF(INDEX(Producer!$D:$D,MATCH($D12,Producer!$A:$A,0))="DLY","Daily","Annual")),"")</f>
        <v>Residential 5 Year Fixed 65% LTV - Daily</v>
      </c>
      <c r="C12" s="146" t="str">
        <f>_xlfn.IFNA(INDEX(Producer!$Q:$Q,MATCH($D12,Producer!$A:$A,0)),"")</f>
        <v>Residential</v>
      </c>
      <c r="D12" s="146">
        <f>IFERROR(VALUE(MID(Producer!$R$2,IF($D11="",1/0,FIND(_xlfn.CONCAT($D10,$D11),Producer!$R$2)+10),5)),"")</f>
        <v>54187</v>
      </c>
      <c r="E12" s="146" t="str">
        <f t="shared" si="1"/>
        <v>Fixed</v>
      </c>
      <c r="F12" s="146"/>
      <c r="G12" s="147">
        <f>_xlfn.IFNA(VALUE(INDEX(Producer!$F:$F,MATCH($D12,Producer!$A:$A,0)))*100,"")</f>
        <v>4.1099999999999994</v>
      </c>
      <c r="H12" s="216">
        <f>_xlfn.IFNA(IFERROR(DATEVALUE(INDEX(Producer!$M:$M,MATCH($D12,Producer!$A:$A,0))),(INDEX(Producer!$M:$M,MATCH($D12,Producer!$A:$A,0)))),"")</f>
        <v>47514</v>
      </c>
      <c r="I12" s="217">
        <f>_xlfn.IFNA(VALUE(INDEX(Producer!$B:$B,MATCH($D12,Producer!$A:$A,0)))*12,"")</f>
        <v>60</v>
      </c>
      <c r="J12" s="146" t="str">
        <f>_xlfn.IFNA(IF(C12="Residential",IF(VALUE(INDEX(Producer!$B:$B,MATCH($D12,Producer!$A:$A,0)))&lt;5,Constants!$C$10,""),IF(VALUE(INDEX(Producer!$B:$B,MATCH($D12,Producer!$A:$A,0)))&lt;5,Constants!$C$11,"")),"")</f>
        <v/>
      </c>
      <c r="K12" s="216" t="str">
        <f>_xlfn.IFNA(IF(($I12)&lt;60,DATE(YEAR(H12)+(5-VALUE(INDEX(Producer!$B:$B,MATCH($D12,Producer!$A:$A,0)))),MONTH(H12),DAY(H12)),""),"")</f>
        <v/>
      </c>
      <c r="L12" s="153" t="str">
        <f t="shared" si="2"/>
        <v/>
      </c>
      <c r="M12" s="146"/>
      <c r="N12" s="148"/>
      <c r="O12" s="148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>
        <f>IF(D12="","",IF(C12="Residential",Constants!$B$10,Constants!$B$11))</f>
        <v>8.24</v>
      </c>
      <c r="AL12" s="146" t="str">
        <f t="shared" si="3"/>
        <v>SVR</v>
      </c>
      <c r="AM12" s="206" t="str">
        <f t="shared" si="4"/>
        <v/>
      </c>
      <c r="AN12" s="146">
        <f t="shared" si="5"/>
        <v>10</v>
      </c>
      <c r="AO12" s="149" t="str">
        <f t="shared" si="6"/>
        <v>Remortgage</v>
      </c>
      <c r="AP12" s="150" t="str">
        <f t="shared" si="7"/>
        <v>ProductTransfer</v>
      </c>
      <c r="AQ12" s="146">
        <f>IFERROR(_xlfn.IFNA(IF($BA12="No",0,IF(INDEX(Constants!B:B,MATCH(($I12/12),Constants!$A:$A,0))=0,0,INDEX(Constants!B:B,MATCH(($I12/12),Constants!$A:$A,0)))),0),"")</f>
        <v>5</v>
      </c>
      <c r="AR12" s="146">
        <f>IFERROR(_xlfn.IFNA(IF($BA12="No",0,IF(INDEX(Constants!C:C,MATCH(($I12/12),Constants!$A:$A,0))=0,0,INDEX(Constants!C:C,MATCH(($I12/12),Constants!$A:$A,0)))),0),"")</f>
        <v>5</v>
      </c>
      <c r="AS12" s="146">
        <f>IFERROR(_xlfn.IFNA(IF($BA12="No",0,IF(INDEX(Constants!D:D,MATCH(($I12/12),Constants!$A:$A,0))=0,0,INDEX(Constants!D:D,MATCH(($I12/12),Constants!$A:$A,0)))),0),"")</f>
        <v>4</v>
      </c>
      <c r="AT12" s="146">
        <f>IFERROR(_xlfn.IFNA(IF($BA12="No",0,IF(INDEX(Constants!E:E,MATCH(($I12/12),Constants!$A:$A,0))=0,0,INDEX(Constants!E:E,MATCH(($I12/12),Constants!$A:$A,0)))),0),"")</f>
        <v>3</v>
      </c>
      <c r="AU12" s="146">
        <f>IFERROR(_xlfn.IFNA(IF($BA12="No",0,IF(INDEX(Constants!F:F,MATCH(($I12/12),Constants!$A:$A,0))=0,0,INDEX(Constants!F:F,MATCH(($I12/12),Constants!$A:$A,0)))),0),"")</f>
        <v>2</v>
      </c>
      <c r="AV12" s="146">
        <f>IFERROR(_xlfn.IFNA(IF($BA12="No",0,IF(INDEX(Constants!G:G,MATCH(($I12/12),Constants!$A:$A,0))=0,0,INDEX(Constants!G:G,MATCH(($I12/12),Constants!$A:$A,0)))),0),"")</f>
        <v>0</v>
      </c>
      <c r="AW12" s="146">
        <f>IFERROR(_xlfn.IFNA(IF($BA12="No",0,IF(INDEX(Constants!H:H,MATCH(($I12/12),Constants!$A:$A,0))=0,0,INDEX(Constants!H:H,MATCH(($I12/12),Constants!$A:$A,0)))),0),"")</f>
        <v>0</v>
      </c>
      <c r="AX12" s="146">
        <f>IFERROR(_xlfn.IFNA(IF($BA12="No",0,IF(INDEX(Constants!I:I,MATCH(($I12/12),Constants!$A:$A,0))=0,0,INDEX(Constants!I:I,MATCH(($I12/12),Constants!$A:$A,0)))),0),"")</f>
        <v>0</v>
      </c>
      <c r="AY12" s="146">
        <f>IFERROR(_xlfn.IFNA(IF($BA12="No",0,IF(INDEX(Constants!J:J,MATCH(($I12/12),Constants!$A:$A,0))=0,0,INDEX(Constants!J:J,MATCH(($I12/12),Constants!$A:$A,0)))),0),"")</f>
        <v>0</v>
      </c>
      <c r="AZ12" s="146">
        <f>IFERROR(_xlfn.IFNA(IF($BA12="No",0,IF(INDEX(Constants!K:K,MATCH(($I12/12),Constants!$A:$A,0))=0,0,INDEX(Constants!K:K,MATCH(($I12/12),Constants!$A:$A,0)))),0),"")</f>
        <v>0</v>
      </c>
      <c r="BA12" s="147" t="str">
        <f>_xlfn.IFNA(INDEX(Producer!$L:$L,MATCH($D12,Producer!$A:$A,0)),"")</f>
        <v>Yes</v>
      </c>
      <c r="BB12" s="146" t="str">
        <f>IFERROR(IF(AQ12=0,"",IF(($I12/12)=15,_xlfn.CONCAT(Constants!$N$7,TEXT(DATE(YEAR(H12)-(($I12/12)-3),MONTH(H12),DAY(H12)),"dd/mm/yyyy"),", ",Constants!$P$7,TEXT(DATE(YEAR(H12)-(($I12/12)-8),MONTH(H12),DAY(H12)),"dd/mm/yyyy"),", ",Constants!$T$7,TEXT(DATE(YEAR(H12)-(($I12/12)-11),MONTH(H12),DAY(H12)),"dd/mm/yyyy"),", ",Constants!$V$7,TEXT(DATE(YEAR(H12)-(($I12/12)-13),MONTH(H12),DAY(H12)),"dd/mm/yyyy"),", ",Constants!$W$7,TEXT($H12,"dd/mm/yyyy")),IF(($I12/12)=10,_xlfn.CONCAT(Constants!$N$6,TEXT(DATE(YEAR(H12)-(($I12/12)-2),MONTH(H12),DAY(H12)),"dd/mm/yyyy"),", ",Constants!$P$6,TEXT(DATE(YEAR(H12)-(($I12/12)-6),MONTH(H12),DAY(H12)),"dd/mm/yyyy"),", ",Constants!$T$6,TEXT(DATE(YEAR(H12)-(($I12/12)-8),MONTH(H12),DAY(H12)),"dd/mm/yyyy"),", ",Constants!$V$6,TEXT(DATE(YEAR(H12)-(($I12/12)-9),MONTH(H12),DAY(H12)),"dd/mm/yyyy"),", ",Constants!$W$6,TEXT($H12,"dd/mm/yyyy")),IF(($I12/12)=5,_xlfn.CONCAT(Constants!$N$5,TEXT(DATE(YEAR(H12)-(($I12/12)-1),MONTH(H12),DAY(H12)),"dd/mm/yyyy"),", ",Constants!$O$5,TEXT(DATE(YEAR(H12)-(($I12/12)-2),MONTH(H12),DAY(H12)),"dd/mm/yyyy"),", ",Constants!$P$5,TEXT(DATE(YEAR(H12)-(($I12/12)-3),MONTH(H12),DAY(H12)),"dd/mm/yyyy"),", ",Constants!$Q$5,TEXT(DATE(YEAR(H12)-(($I12/12)-4),MONTH(H12),DAY(H12)),"dd/mm/yyyy"),", ",Constants!$R$5,TEXT($H12,"dd/mm/yyyy")),IF(($I12/12)=3,_xlfn.CONCAT(Constants!$N$4,TEXT(DATE(YEAR(H12)-(($I12/12)-1),MONTH(H12),DAY(H12)),"dd/mm/yyyy"),", ",Constants!$O$4,TEXT(DATE(YEAR(H12)-(($I12/12)-2),MONTH(H12),DAY(H12)),"dd/mm/yyyy"),", ",Constants!$P$4,TEXT($H12,"dd/mm/yyyy")),IF(($I12/12)=2,_xlfn.CONCAT(Constants!$N$3,TEXT(DATE(YEAR(H12)-(($I12/12)-1),MONTH(H12),DAY(H12)),"dd/mm/yyyy"),", ",Constants!$O$3,TEXT($H12,"dd/mm/yyyy")),IF(($I12/12)=1,_xlfn.CONCAT(Constants!$N$2,TEXT($H12,"dd/mm/yyyy")),"Update Constants"))))))),"")</f>
        <v>5% to 31/01/2026, 5% to 31/01/2027, 4% to 31/01/2028, 3% to 31/01/2029, 2% to 31/01/2030</v>
      </c>
      <c r="BC12" s="147">
        <f>_xlfn.IFNA(VALUE(INDEX(Producer!$K:$K,MATCH($D12,Producer!$A:$A,0))),"")</f>
        <v>0</v>
      </c>
      <c r="BD12" s="147" t="str">
        <f>_xlfn.IFNA(INDEX(Producer!$I:$I,MATCH($D12,Producer!$A:$A,0)),"")</f>
        <v>No</v>
      </c>
      <c r="BE12" s="147" t="str">
        <f t="shared" si="8"/>
        <v>Yes</v>
      </c>
      <c r="BF12" s="147"/>
      <c r="BG12" s="147"/>
      <c r="BH12" s="151">
        <f>_xlfn.IFNA(INDEX(Constants!$B:$B,MATCH(BC12,Constants!A:A,0)),"")</f>
        <v>0</v>
      </c>
      <c r="BI12" s="147">
        <f>IF(LEFT(B12,15)="Limited Company",Constants!$D$16,IFERROR(_xlfn.IFNA(IF(C12="Residential",IF(BK12&lt;75,INDEX(Constants!$B:$B,MATCH(VALUE(60)/100,Constants!$A:$A,0)),INDEX(Constants!$B:$B,MATCH(VALUE(BK12)/100,Constants!$A:$A,0))),IF(BK12&lt;60,INDEX(Constants!$C:$C,MATCH(VALUE(60)/100,Constants!$A:$A,0)),INDEX(Constants!$C:$C,MATCH(VALUE(BK12)/100,Constants!$A:$A,0)))),""),""))</f>
        <v>2000000</v>
      </c>
      <c r="BJ12" s="147">
        <f t="shared" si="9"/>
        <v>0</v>
      </c>
      <c r="BK12" s="147">
        <f>_xlfn.IFNA(VALUE(INDEX(Producer!$E:$E,MATCH($D12,Producer!$A:$A,0)))*100,"")</f>
        <v>65</v>
      </c>
      <c r="BL12" s="146" t="str">
        <f>_xlfn.IFNA(IF(IFERROR(FIND("Part &amp; Part",B12),-10)&gt;0,"PP",IF(OR(LEFT(B12,25)="Residential Interest Only",INDEX(Producer!$P:$P,MATCH($D12,Producer!$A:$A,0))="IO",INDEX(Producer!$P:$P,MATCH($D12,Producer!$A:$A,0))="Retirement Interest Only"),"IO",IF($C12="BuyToLet","CI, IO","CI"))),"")</f>
        <v>CI</v>
      </c>
      <c r="BM12" s="152" t="str">
        <f>_xlfn.IFNA(IF(BL12="IO",100%,IF(AND(INDEX(Producer!$P:$P,MATCH($D12,Producer!$A:$A,0))="Residential Interest Only Part &amp; Part",BK12=75),80%,IF(C12="BuyToLet",100%,IF(BL12="Interest Only",100%,IF(AND(INDEX(Producer!$P:$P,MATCH($D12,Producer!$A:$A,0))="Residential Interest Only Part &amp; Part",BK12=60),100%,""))))),"")</f>
        <v/>
      </c>
      <c r="BN12" s="218">
        <f>_xlfn.IFNA(IF(VALUE(INDEX(Producer!$H:$H,MATCH($D12,Producer!$A:$A,0)))=0,"",VALUE(INDEX(Producer!$H:$H,MATCH($D12,Producer!$A:$A,0)))),"")</f>
        <v>799</v>
      </c>
      <c r="BO12" s="153"/>
      <c r="BP12" s="153"/>
      <c r="BQ12" s="219">
        <f t="shared" si="10"/>
        <v>35</v>
      </c>
      <c r="BR12" s="146"/>
      <c r="BS12" s="146"/>
      <c r="BT12" s="146"/>
      <c r="BU12" s="146"/>
      <c r="BV12" s="219">
        <f t="shared" si="11"/>
        <v>199</v>
      </c>
      <c r="BW12" s="146"/>
      <c r="BX12" s="146"/>
      <c r="BY12" s="146" t="str">
        <f t="shared" si="12"/>
        <v>No</v>
      </c>
      <c r="BZ12" s="146" t="str">
        <f t="shared" si="13"/>
        <v>No</v>
      </c>
      <c r="CA12" s="146" t="str">
        <f t="shared" si="14"/>
        <v>No</v>
      </c>
      <c r="CB12" s="146" t="str">
        <f t="shared" si="15"/>
        <v>No</v>
      </c>
      <c r="CC12" s="146" t="str">
        <f>_xlfn.IFNA(IF(INDEX(Producer!$P:$P,MATCH($D12,Producer!$A:$A,0))="Help to Buy","Only available","No"),"")</f>
        <v>No</v>
      </c>
      <c r="CD12" s="146" t="str">
        <f>_xlfn.IFNA(IF(INDEX(Producer!$P:$P,MATCH($D12,Producer!$A:$A,0))="Shared Ownership","Only available","No"),"")</f>
        <v>No</v>
      </c>
      <c r="CE12" s="146" t="str">
        <f>_xlfn.IFNA(IF(INDEX(Producer!$P:$P,MATCH($D12,Producer!$A:$A,0))="Right to Buy","Only available","No"),"")</f>
        <v>No</v>
      </c>
      <c r="CF12" s="146" t="str">
        <f t="shared" si="16"/>
        <v>No</v>
      </c>
      <c r="CG12" s="146" t="str">
        <f>_xlfn.IFNA(IF(INDEX(Producer!$P:$P,MATCH($D12,Producer!$A:$A,0))="Retirement Interest Only","Only available","No"),"")</f>
        <v>No</v>
      </c>
      <c r="CH12" s="146" t="str">
        <f t="shared" si="17"/>
        <v>No</v>
      </c>
      <c r="CI12" s="146" t="str">
        <f>_xlfn.IFNA(IF(INDEX(Producer!$P:$P,MATCH($D12,Producer!$A:$A,0))="Intermediary Holiday Let","Only available","No"),"")</f>
        <v>No</v>
      </c>
      <c r="CJ12" s="146" t="str">
        <f t="shared" si="18"/>
        <v>No</v>
      </c>
      <c r="CK12" s="146" t="str">
        <f>_xlfn.IFNA(IF(OR(INDEX(Producer!$P:$P,MATCH($D12,Producer!$A:$A,0))="Intermediary Small HMO",INDEX(Producer!$P:$P,MATCH($D12,Producer!$A:$A,0))="Intermediary Large HMO"),"Only available","No"),"")</f>
        <v>No</v>
      </c>
      <c r="CL12" s="146" t="str">
        <f t="shared" si="19"/>
        <v>No</v>
      </c>
      <c r="CM12" s="146" t="str">
        <f t="shared" si="20"/>
        <v>No</v>
      </c>
      <c r="CN12" s="146" t="str">
        <f t="shared" si="21"/>
        <v>No</v>
      </c>
      <c r="CO12" s="146" t="str">
        <f t="shared" si="22"/>
        <v>Also available</v>
      </c>
      <c r="CP12" s="146" t="str">
        <f t="shared" si="23"/>
        <v>No</v>
      </c>
      <c r="CQ12" s="146" t="str">
        <f t="shared" si="24"/>
        <v>No</v>
      </c>
      <c r="CR12" s="146" t="str">
        <f t="shared" si="25"/>
        <v>Also available</v>
      </c>
      <c r="CS12" s="146" t="str">
        <f t="shared" si="26"/>
        <v>Only available</v>
      </c>
      <c r="CT12" s="146" t="str">
        <f t="shared" si="27"/>
        <v>No</v>
      </c>
      <c r="CU12" s="146"/>
    </row>
    <row r="13" spans="1:99" ht="16.399999999999999" customHeight="1" x14ac:dyDescent="0.35">
      <c r="A13" s="145" t="str">
        <f t="shared" si="0"/>
        <v>Leeds Building Society</v>
      </c>
      <c r="B13" s="145" t="str">
        <f>_xlfn.IFNA(_xlfn.CONCAT(INDEX(Producer!$P:$P,MATCH($D13,Producer!$A:$A,0))," ",IF(INDEX(Producer!$N:$N,MATCH($D13,Producer!$A:$A,0))="Yes","Green ",""),IF(AND(INDEX(Producer!$L:$L,MATCH($D13,Producer!$A:$A,0))="No",INDEX(Producer!$C:$C,MATCH($D13,Producer!$A:$A,0))="Fixed"),"Flexit ",""),INDEX(Producer!$B:$B,MATCH($D13,Producer!$A:$A,0))," Year ",INDEX(Producer!$C:$C,MATCH($D13,Producer!$A:$A,0))," ",VALUE(INDEX(Producer!$E:$E,MATCH($D13,Producer!$A:$A,0)))*100,"% LTV",IF(INDEX(Producer!$N:$N,MATCH($D13,Producer!$A:$A,0))="Yes"," (EPC A-C)","")," - ",IF(INDEX(Producer!$D:$D,MATCH($D13,Producer!$A:$A,0))="DLY","Daily","Annual")),"")</f>
        <v>Residential 5 Year Fixed 75% LTV - Daily</v>
      </c>
      <c r="C13" s="146" t="str">
        <f>_xlfn.IFNA(INDEX(Producer!$Q:$Q,MATCH($D13,Producer!$A:$A,0)),"")</f>
        <v>Residential</v>
      </c>
      <c r="D13" s="146">
        <f>IFERROR(VALUE(MID(Producer!$R$2,IF($D12="",1/0,FIND(_xlfn.CONCAT($D11,$D12),Producer!$R$2)+10),5)),"")</f>
        <v>54184</v>
      </c>
      <c r="E13" s="146" t="str">
        <f t="shared" si="1"/>
        <v>Fixed</v>
      </c>
      <c r="F13" s="146"/>
      <c r="G13" s="147">
        <f>_xlfn.IFNA(VALUE(INDEX(Producer!$F:$F,MATCH($D13,Producer!$A:$A,0)))*100,"")</f>
        <v>4.1099999999999994</v>
      </c>
      <c r="H13" s="216">
        <f>_xlfn.IFNA(IFERROR(DATEVALUE(INDEX(Producer!$M:$M,MATCH($D13,Producer!$A:$A,0))),(INDEX(Producer!$M:$M,MATCH($D13,Producer!$A:$A,0)))),"")</f>
        <v>47514</v>
      </c>
      <c r="I13" s="217">
        <f>_xlfn.IFNA(VALUE(INDEX(Producer!$B:$B,MATCH($D13,Producer!$A:$A,0)))*12,"")</f>
        <v>60</v>
      </c>
      <c r="J13" s="146" t="str">
        <f>_xlfn.IFNA(IF(C13="Residential",IF(VALUE(INDEX(Producer!$B:$B,MATCH($D13,Producer!$A:$A,0)))&lt;5,Constants!$C$10,""),IF(VALUE(INDEX(Producer!$B:$B,MATCH($D13,Producer!$A:$A,0)))&lt;5,Constants!$C$11,"")),"")</f>
        <v/>
      </c>
      <c r="K13" s="216" t="str">
        <f>_xlfn.IFNA(IF(($I13)&lt;60,DATE(YEAR(H13)+(5-VALUE(INDEX(Producer!$B:$B,MATCH($D13,Producer!$A:$A,0)))),MONTH(H13),DAY(H13)),""),"")</f>
        <v/>
      </c>
      <c r="L13" s="153" t="str">
        <f t="shared" si="2"/>
        <v/>
      </c>
      <c r="M13" s="146"/>
      <c r="N13" s="148"/>
      <c r="O13" s="148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>
        <f>IF(D13="","",IF(C13="Residential",Constants!$B$10,Constants!$B$11))</f>
        <v>8.24</v>
      </c>
      <c r="AL13" s="146" t="str">
        <f t="shared" si="3"/>
        <v>SVR</v>
      </c>
      <c r="AM13" s="206" t="str">
        <f t="shared" si="4"/>
        <v/>
      </c>
      <c r="AN13" s="146">
        <f t="shared" si="5"/>
        <v>10</v>
      </c>
      <c r="AO13" s="149" t="str">
        <f t="shared" si="6"/>
        <v>Remortgage</v>
      </c>
      <c r="AP13" s="150" t="str">
        <f t="shared" si="7"/>
        <v>ProductTransfer</v>
      </c>
      <c r="AQ13" s="146">
        <f>IFERROR(_xlfn.IFNA(IF($BA13="No",0,IF(INDEX(Constants!B:B,MATCH(($I13/12),Constants!$A:$A,0))=0,0,INDEX(Constants!B:B,MATCH(($I13/12),Constants!$A:$A,0)))),0),"")</f>
        <v>5</v>
      </c>
      <c r="AR13" s="146">
        <f>IFERROR(_xlfn.IFNA(IF($BA13="No",0,IF(INDEX(Constants!C:C,MATCH(($I13/12),Constants!$A:$A,0))=0,0,INDEX(Constants!C:C,MATCH(($I13/12),Constants!$A:$A,0)))),0),"")</f>
        <v>5</v>
      </c>
      <c r="AS13" s="146">
        <f>IFERROR(_xlfn.IFNA(IF($BA13="No",0,IF(INDEX(Constants!D:D,MATCH(($I13/12),Constants!$A:$A,0))=0,0,INDEX(Constants!D:D,MATCH(($I13/12),Constants!$A:$A,0)))),0),"")</f>
        <v>4</v>
      </c>
      <c r="AT13" s="146">
        <f>IFERROR(_xlfn.IFNA(IF($BA13="No",0,IF(INDEX(Constants!E:E,MATCH(($I13/12),Constants!$A:$A,0))=0,0,INDEX(Constants!E:E,MATCH(($I13/12),Constants!$A:$A,0)))),0),"")</f>
        <v>3</v>
      </c>
      <c r="AU13" s="146">
        <f>IFERROR(_xlfn.IFNA(IF($BA13="No",0,IF(INDEX(Constants!F:F,MATCH(($I13/12),Constants!$A:$A,0))=0,0,INDEX(Constants!F:F,MATCH(($I13/12),Constants!$A:$A,0)))),0),"")</f>
        <v>2</v>
      </c>
      <c r="AV13" s="146">
        <f>IFERROR(_xlfn.IFNA(IF($BA13="No",0,IF(INDEX(Constants!G:G,MATCH(($I13/12),Constants!$A:$A,0))=0,0,INDEX(Constants!G:G,MATCH(($I13/12),Constants!$A:$A,0)))),0),"")</f>
        <v>0</v>
      </c>
      <c r="AW13" s="146">
        <f>IFERROR(_xlfn.IFNA(IF($BA13="No",0,IF(INDEX(Constants!H:H,MATCH(($I13/12),Constants!$A:$A,0))=0,0,INDEX(Constants!H:H,MATCH(($I13/12),Constants!$A:$A,0)))),0),"")</f>
        <v>0</v>
      </c>
      <c r="AX13" s="146">
        <f>IFERROR(_xlfn.IFNA(IF($BA13="No",0,IF(INDEX(Constants!I:I,MATCH(($I13/12),Constants!$A:$A,0))=0,0,INDEX(Constants!I:I,MATCH(($I13/12),Constants!$A:$A,0)))),0),"")</f>
        <v>0</v>
      </c>
      <c r="AY13" s="146">
        <f>IFERROR(_xlfn.IFNA(IF($BA13="No",0,IF(INDEX(Constants!J:J,MATCH(($I13/12),Constants!$A:$A,0))=0,0,INDEX(Constants!J:J,MATCH(($I13/12),Constants!$A:$A,0)))),0),"")</f>
        <v>0</v>
      </c>
      <c r="AZ13" s="146">
        <f>IFERROR(_xlfn.IFNA(IF($BA13="No",0,IF(INDEX(Constants!K:K,MATCH(($I13/12),Constants!$A:$A,0))=0,0,INDEX(Constants!K:K,MATCH(($I13/12),Constants!$A:$A,0)))),0),"")</f>
        <v>0</v>
      </c>
      <c r="BA13" s="147" t="str">
        <f>_xlfn.IFNA(INDEX(Producer!$L:$L,MATCH($D13,Producer!$A:$A,0)),"")</f>
        <v>Yes</v>
      </c>
      <c r="BB13" s="146" t="str">
        <f>IFERROR(IF(AQ13=0,"",IF(($I13/12)=15,_xlfn.CONCAT(Constants!$N$7,TEXT(DATE(YEAR(H13)-(($I13/12)-3),MONTH(H13),DAY(H13)),"dd/mm/yyyy"),", ",Constants!$P$7,TEXT(DATE(YEAR(H13)-(($I13/12)-8),MONTH(H13),DAY(H13)),"dd/mm/yyyy"),", ",Constants!$T$7,TEXT(DATE(YEAR(H13)-(($I13/12)-11),MONTH(H13),DAY(H13)),"dd/mm/yyyy"),", ",Constants!$V$7,TEXT(DATE(YEAR(H13)-(($I13/12)-13),MONTH(H13),DAY(H13)),"dd/mm/yyyy"),", ",Constants!$W$7,TEXT($H13,"dd/mm/yyyy")),IF(($I13/12)=10,_xlfn.CONCAT(Constants!$N$6,TEXT(DATE(YEAR(H13)-(($I13/12)-2),MONTH(H13),DAY(H13)),"dd/mm/yyyy"),", ",Constants!$P$6,TEXT(DATE(YEAR(H13)-(($I13/12)-6),MONTH(H13),DAY(H13)),"dd/mm/yyyy"),", ",Constants!$T$6,TEXT(DATE(YEAR(H13)-(($I13/12)-8),MONTH(H13),DAY(H13)),"dd/mm/yyyy"),", ",Constants!$V$6,TEXT(DATE(YEAR(H13)-(($I13/12)-9),MONTH(H13),DAY(H13)),"dd/mm/yyyy"),", ",Constants!$W$6,TEXT($H13,"dd/mm/yyyy")),IF(($I13/12)=5,_xlfn.CONCAT(Constants!$N$5,TEXT(DATE(YEAR(H13)-(($I13/12)-1),MONTH(H13),DAY(H13)),"dd/mm/yyyy"),", ",Constants!$O$5,TEXT(DATE(YEAR(H13)-(($I13/12)-2),MONTH(H13),DAY(H13)),"dd/mm/yyyy"),", ",Constants!$P$5,TEXT(DATE(YEAR(H13)-(($I13/12)-3),MONTH(H13),DAY(H13)),"dd/mm/yyyy"),", ",Constants!$Q$5,TEXT(DATE(YEAR(H13)-(($I13/12)-4),MONTH(H13),DAY(H13)),"dd/mm/yyyy"),", ",Constants!$R$5,TEXT($H13,"dd/mm/yyyy")),IF(($I13/12)=3,_xlfn.CONCAT(Constants!$N$4,TEXT(DATE(YEAR(H13)-(($I13/12)-1),MONTH(H13),DAY(H13)),"dd/mm/yyyy"),", ",Constants!$O$4,TEXT(DATE(YEAR(H13)-(($I13/12)-2),MONTH(H13),DAY(H13)),"dd/mm/yyyy"),", ",Constants!$P$4,TEXT($H13,"dd/mm/yyyy")),IF(($I13/12)=2,_xlfn.CONCAT(Constants!$N$3,TEXT(DATE(YEAR(H13)-(($I13/12)-1),MONTH(H13),DAY(H13)),"dd/mm/yyyy"),", ",Constants!$O$3,TEXT($H13,"dd/mm/yyyy")),IF(($I13/12)=1,_xlfn.CONCAT(Constants!$N$2,TEXT($H13,"dd/mm/yyyy")),"Update Constants"))))))),"")</f>
        <v>5% to 31/01/2026, 5% to 31/01/2027, 4% to 31/01/2028, 3% to 31/01/2029, 2% to 31/01/2030</v>
      </c>
      <c r="BC13" s="147">
        <f>_xlfn.IFNA(VALUE(INDEX(Producer!$K:$K,MATCH($D13,Producer!$A:$A,0))),"")</f>
        <v>0</v>
      </c>
      <c r="BD13" s="147" t="str">
        <f>_xlfn.IFNA(INDEX(Producer!$I:$I,MATCH($D13,Producer!$A:$A,0)),"")</f>
        <v>No</v>
      </c>
      <c r="BE13" s="147" t="str">
        <f t="shared" si="8"/>
        <v>Yes</v>
      </c>
      <c r="BF13" s="147"/>
      <c r="BG13" s="147"/>
      <c r="BH13" s="151">
        <f>_xlfn.IFNA(INDEX(Constants!$B:$B,MATCH(BC13,Constants!A:A,0)),"")</f>
        <v>0</v>
      </c>
      <c r="BI13" s="147">
        <f>IF(LEFT(B13,15)="Limited Company",Constants!$D$16,IFERROR(_xlfn.IFNA(IF(C13="Residential",IF(BK13&lt;75,INDEX(Constants!$B:$B,MATCH(VALUE(60)/100,Constants!$A:$A,0)),INDEX(Constants!$B:$B,MATCH(VALUE(BK13)/100,Constants!$A:$A,0))),IF(BK13&lt;60,INDEX(Constants!$C:$C,MATCH(VALUE(60)/100,Constants!$A:$A,0)),INDEX(Constants!$C:$C,MATCH(VALUE(BK13)/100,Constants!$A:$A,0)))),""),""))</f>
        <v>2000000</v>
      </c>
      <c r="BJ13" s="147">
        <f t="shared" si="9"/>
        <v>0</v>
      </c>
      <c r="BK13" s="147">
        <f>_xlfn.IFNA(VALUE(INDEX(Producer!$E:$E,MATCH($D13,Producer!$A:$A,0)))*100,"")</f>
        <v>75</v>
      </c>
      <c r="BL13" s="146" t="str">
        <f>_xlfn.IFNA(IF(IFERROR(FIND("Part &amp; Part",B13),-10)&gt;0,"PP",IF(OR(LEFT(B13,25)="Residential Interest Only",INDEX(Producer!$P:$P,MATCH($D13,Producer!$A:$A,0))="IO",INDEX(Producer!$P:$P,MATCH($D13,Producer!$A:$A,0))="Retirement Interest Only"),"IO",IF($C13="BuyToLet","CI, IO","CI"))),"")</f>
        <v>CI</v>
      </c>
      <c r="BM13" s="152" t="str">
        <f>_xlfn.IFNA(IF(BL13="IO",100%,IF(AND(INDEX(Producer!$P:$P,MATCH($D13,Producer!$A:$A,0))="Residential Interest Only Part &amp; Part",BK13=75),80%,IF(C13="BuyToLet",100%,IF(BL13="Interest Only",100%,IF(AND(INDEX(Producer!$P:$P,MATCH($D13,Producer!$A:$A,0))="Residential Interest Only Part &amp; Part",BK13=60),100%,""))))),"")</f>
        <v/>
      </c>
      <c r="BN13" s="218">
        <f>_xlfn.IFNA(IF(VALUE(INDEX(Producer!$H:$H,MATCH($D13,Producer!$A:$A,0)))=0,"",VALUE(INDEX(Producer!$H:$H,MATCH($D13,Producer!$A:$A,0)))),"")</f>
        <v>1599</v>
      </c>
      <c r="BO13" s="153"/>
      <c r="BP13" s="153"/>
      <c r="BQ13" s="219">
        <f t="shared" si="10"/>
        <v>35</v>
      </c>
      <c r="BR13" s="146"/>
      <c r="BS13" s="146"/>
      <c r="BT13" s="146"/>
      <c r="BU13" s="146"/>
      <c r="BV13" s="219">
        <f t="shared" si="11"/>
        <v>199</v>
      </c>
      <c r="BW13" s="146"/>
      <c r="BX13" s="146"/>
      <c r="BY13" s="146" t="str">
        <f t="shared" si="12"/>
        <v>No</v>
      </c>
      <c r="BZ13" s="146" t="str">
        <f t="shared" si="13"/>
        <v>No</v>
      </c>
      <c r="CA13" s="146" t="str">
        <f t="shared" si="14"/>
        <v>No</v>
      </c>
      <c r="CB13" s="146" t="str">
        <f t="shared" si="15"/>
        <v>No</v>
      </c>
      <c r="CC13" s="146" t="str">
        <f>_xlfn.IFNA(IF(INDEX(Producer!$P:$P,MATCH($D13,Producer!$A:$A,0))="Help to Buy","Only available","No"),"")</f>
        <v>No</v>
      </c>
      <c r="CD13" s="146" t="str">
        <f>_xlfn.IFNA(IF(INDEX(Producer!$P:$P,MATCH($D13,Producer!$A:$A,0))="Shared Ownership","Only available","No"),"")</f>
        <v>No</v>
      </c>
      <c r="CE13" s="146" t="str">
        <f>_xlfn.IFNA(IF(INDEX(Producer!$P:$P,MATCH($D13,Producer!$A:$A,0))="Right to Buy","Only available","No"),"")</f>
        <v>No</v>
      </c>
      <c r="CF13" s="146" t="str">
        <f t="shared" si="16"/>
        <v>No</v>
      </c>
      <c r="CG13" s="146" t="str">
        <f>_xlfn.IFNA(IF(INDEX(Producer!$P:$P,MATCH($D13,Producer!$A:$A,0))="Retirement Interest Only","Only available","No"),"")</f>
        <v>No</v>
      </c>
      <c r="CH13" s="146" t="str">
        <f t="shared" si="17"/>
        <v>No</v>
      </c>
      <c r="CI13" s="146" t="str">
        <f>_xlfn.IFNA(IF(INDEX(Producer!$P:$P,MATCH($D13,Producer!$A:$A,0))="Intermediary Holiday Let","Only available","No"),"")</f>
        <v>No</v>
      </c>
      <c r="CJ13" s="146" t="str">
        <f t="shared" si="18"/>
        <v>No</v>
      </c>
      <c r="CK13" s="146" t="str">
        <f>_xlfn.IFNA(IF(OR(INDEX(Producer!$P:$P,MATCH($D13,Producer!$A:$A,0))="Intermediary Small HMO",INDEX(Producer!$P:$P,MATCH($D13,Producer!$A:$A,0))="Intermediary Large HMO"),"Only available","No"),"")</f>
        <v>No</v>
      </c>
      <c r="CL13" s="146" t="str">
        <f t="shared" si="19"/>
        <v>No</v>
      </c>
      <c r="CM13" s="146" t="str">
        <f t="shared" si="20"/>
        <v>No</v>
      </c>
      <c r="CN13" s="146" t="str">
        <f t="shared" si="21"/>
        <v>No</v>
      </c>
      <c r="CO13" s="146" t="str">
        <f t="shared" si="22"/>
        <v>Also available</v>
      </c>
      <c r="CP13" s="146" t="str">
        <f t="shared" si="23"/>
        <v>No</v>
      </c>
      <c r="CQ13" s="146" t="str">
        <f t="shared" si="24"/>
        <v>No</v>
      </c>
      <c r="CR13" s="146" t="str">
        <f t="shared" si="25"/>
        <v>Also available</v>
      </c>
      <c r="CS13" s="146" t="str">
        <f t="shared" si="26"/>
        <v>Only available</v>
      </c>
      <c r="CT13" s="146" t="str">
        <f t="shared" si="27"/>
        <v>No</v>
      </c>
      <c r="CU13" s="146"/>
    </row>
    <row r="14" spans="1:99" ht="16.399999999999999" customHeight="1" x14ac:dyDescent="0.35">
      <c r="A14" s="145" t="str">
        <f t="shared" si="0"/>
        <v>Leeds Building Society</v>
      </c>
      <c r="B14" s="145" t="str">
        <f>_xlfn.IFNA(_xlfn.CONCAT(INDEX(Producer!$P:$P,MATCH($D14,Producer!$A:$A,0))," ",IF(INDEX(Producer!$N:$N,MATCH($D14,Producer!$A:$A,0))="Yes","Green ",""),IF(AND(INDEX(Producer!$L:$L,MATCH($D14,Producer!$A:$A,0))="No",INDEX(Producer!$C:$C,MATCH($D14,Producer!$A:$A,0))="Fixed"),"Flexit ",""),INDEX(Producer!$B:$B,MATCH($D14,Producer!$A:$A,0))," Year ",INDEX(Producer!$C:$C,MATCH($D14,Producer!$A:$A,0))," ",VALUE(INDEX(Producer!$E:$E,MATCH($D14,Producer!$A:$A,0)))*100,"% LTV",IF(INDEX(Producer!$N:$N,MATCH($D14,Producer!$A:$A,0))="Yes"," (EPC A-C)","")," - ",IF(INDEX(Producer!$D:$D,MATCH($D14,Producer!$A:$A,0))="DLY","Daily","Annual")),"")</f>
        <v>Residential 5 Year Fixed 75% LTV - Daily</v>
      </c>
      <c r="C14" s="146" t="str">
        <f>_xlfn.IFNA(INDEX(Producer!$Q:$Q,MATCH($D14,Producer!$A:$A,0)),"")</f>
        <v>Residential</v>
      </c>
      <c r="D14" s="146">
        <f>IFERROR(VALUE(MID(Producer!$R$2,IF($D13="",1/0,FIND(_xlfn.CONCAT($D12,$D13),Producer!$R$2)+10),5)),"")</f>
        <v>54182</v>
      </c>
      <c r="E14" s="146" t="str">
        <f t="shared" si="1"/>
        <v>Fixed</v>
      </c>
      <c r="F14" s="146"/>
      <c r="G14" s="147">
        <f>_xlfn.IFNA(VALUE(INDEX(Producer!$F:$F,MATCH($D14,Producer!$A:$A,0)))*100,"")</f>
        <v>4.21</v>
      </c>
      <c r="H14" s="216">
        <f>_xlfn.IFNA(IFERROR(DATEVALUE(INDEX(Producer!$M:$M,MATCH($D14,Producer!$A:$A,0))),(INDEX(Producer!$M:$M,MATCH($D14,Producer!$A:$A,0)))),"")</f>
        <v>47514</v>
      </c>
      <c r="I14" s="217">
        <f>_xlfn.IFNA(VALUE(INDEX(Producer!$B:$B,MATCH($D14,Producer!$A:$A,0)))*12,"")</f>
        <v>60</v>
      </c>
      <c r="J14" s="146" t="str">
        <f>_xlfn.IFNA(IF(C14="Residential",IF(VALUE(INDEX(Producer!$B:$B,MATCH($D14,Producer!$A:$A,0)))&lt;5,Constants!$C$10,""),IF(VALUE(INDEX(Producer!$B:$B,MATCH($D14,Producer!$A:$A,0)))&lt;5,Constants!$C$11,"")),"")</f>
        <v/>
      </c>
      <c r="K14" s="216" t="str">
        <f>_xlfn.IFNA(IF(($I14)&lt;60,DATE(YEAR(H14)+(5-VALUE(INDEX(Producer!$B:$B,MATCH($D14,Producer!$A:$A,0)))),MONTH(H14),DAY(H14)),""),"")</f>
        <v/>
      </c>
      <c r="L14" s="153" t="str">
        <f t="shared" si="2"/>
        <v/>
      </c>
      <c r="M14" s="146"/>
      <c r="N14" s="148"/>
      <c r="O14" s="148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>
        <f>IF(D14="","",IF(C14="Residential",Constants!$B$10,Constants!$B$11))</f>
        <v>8.24</v>
      </c>
      <c r="AL14" s="146" t="str">
        <f t="shared" si="3"/>
        <v>SVR</v>
      </c>
      <c r="AM14" s="206" t="str">
        <f t="shared" si="4"/>
        <v/>
      </c>
      <c r="AN14" s="146">
        <f t="shared" si="5"/>
        <v>10</v>
      </c>
      <c r="AO14" s="149" t="str">
        <f t="shared" si="6"/>
        <v>Remortgage</v>
      </c>
      <c r="AP14" s="150" t="str">
        <f t="shared" si="7"/>
        <v>ProductTransfer</v>
      </c>
      <c r="AQ14" s="146">
        <f>IFERROR(_xlfn.IFNA(IF($BA14="No",0,IF(INDEX(Constants!B:B,MATCH(($I14/12),Constants!$A:$A,0))=0,0,INDEX(Constants!B:B,MATCH(($I14/12),Constants!$A:$A,0)))),0),"")</f>
        <v>5</v>
      </c>
      <c r="AR14" s="146">
        <f>IFERROR(_xlfn.IFNA(IF($BA14="No",0,IF(INDEX(Constants!C:C,MATCH(($I14/12),Constants!$A:$A,0))=0,0,INDEX(Constants!C:C,MATCH(($I14/12),Constants!$A:$A,0)))),0),"")</f>
        <v>5</v>
      </c>
      <c r="AS14" s="146">
        <f>IFERROR(_xlfn.IFNA(IF($BA14="No",0,IF(INDEX(Constants!D:D,MATCH(($I14/12),Constants!$A:$A,0))=0,0,INDEX(Constants!D:D,MATCH(($I14/12),Constants!$A:$A,0)))),0),"")</f>
        <v>4</v>
      </c>
      <c r="AT14" s="146">
        <f>IFERROR(_xlfn.IFNA(IF($BA14="No",0,IF(INDEX(Constants!E:E,MATCH(($I14/12),Constants!$A:$A,0))=0,0,INDEX(Constants!E:E,MATCH(($I14/12),Constants!$A:$A,0)))),0),"")</f>
        <v>3</v>
      </c>
      <c r="AU14" s="146">
        <f>IFERROR(_xlfn.IFNA(IF($BA14="No",0,IF(INDEX(Constants!F:F,MATCH(($I14/12),Constants!$A:$A,0))=0,0,INDEX(Constants!F:F,MATCH(($I14/12),Constants!$A:$A,0)))),0),"")</f>
        <v>2</v>
      </c>
      <c r="AV14" s="146">
        <f>IFERROR(_xlfn.IFNA(IF($BA14="No",0,IF(INDEX(Constants!G:G,MATCH(($I14/12),Constants!$A:$A,0))=0,0,INDEX(Constants!G:G,MATCH(($I14/12),Constants!$A:$A,0)))),0),"")</f>
        <v>0</v>
      </c>
      <c r="AW14" s="146">
        <f>IFERROR(_xlfn.IFNA(IF($BA14="No",0,IF(INDEX(Constants!H:H,MATCH(($I14/12),Constants!$A:$A,0))=0,0,INDEX(Constants!H:H,MATCH(($I14/12),Constants!$A:$A,0)))),0),"")</f>
        <v>0</v>
      </c>
      <c r="AX14" s="146">
        <f>IFERROR(_xlfn.IFNA(IF($BA14="No",0,IF(INDEX(Constants!I:I,MATCH(($I14/12),Constants!$A:$A,0))=0,0,INDEX(Constants!I:I,MATCH(($I14/12),Constants!$A:$A,0)))),0),"")</f>
        <v>0</v>
      </c>
      <c r="AY14" s="146">
        <f>IFERROR(_xlfn.IFNA(IF($BA14="No",0,IF(INDEX(Constants!J:J,MATCH(($I14/12),Constants!$A:$A,0))=0,0,INDEX(Constants!J:J,MATCH(($I14/12),Constants!$A:$A,0)))),0),"")</f>
        <v>0</v>
      </c>
      <c r="AZ14" s="146">
        <f>IFERROR(_xlfn.IFNA(IF($BA14="No",0,IF(INDEX(Constants!K:K,MATCH(($I14/12),Constants!$A:$A,0))=0,0,INDEX(Constants!K:K,MATCH(($I14/12),Constants!$A:$A,0)))),0),"")</f>
        <v>0</v>
      </c>
      <c r="BA14" s="147" t="str">
        <f>_xlfn.IFNA(INDEX(Producer!$L:$L,MATCH($D14,Producer!$A:$A,0)),"")</f>
        <v>Yes</v>
      </c>
      <c r="BB14" s="146" t="str">
        <f>IFERROR(IF(AQ14=0,"",IF(($I14/12)=15,_xlfn.CONCAT(Constants!$N$7,TEXT(DATE(YEAR(H14)-(($I14/12)-3),MONTH(H14),DAY(H14)),"dd/mm/yyyy"),", ",Constants!$P$7,TEXT(DATE(YEAR(H14)-(($I14/12)-8),MONTH(H14),DAY(H14)),"dd/mm/yyyy"),", ",Constants!$T$7,TEXT(DATE(YEAR(H14)-(($I14/12)-11),MONTH(H14),DAY(H14)),"dd/mm/yyyy"),", ",Constants!$V$7,TEXT(DATE(YEAR(H14)-(($I14/12)-13),MONTH(H14),DAY(H14)),"dd/mm/yyyy"),", ",Constants!$W$7,TEXT($H14,"dd/mm/yyyy")),IF(($I14/12)=10,_xlfn.CONCAT(Constants!$N$6,TEXT(DATE(YEAR(H14)-(($I14/12)-2),MONTH(H14),DAY(H14)),"dd/mm/yyyy"),", ",Constants!$P$6,TEXT(DATE(YEAR(H14)-(($I14/12)-6),MONTH(H14),DAY(H14)),"dd/mm/yyyy"),", ",Constants!$T$6,TEXT(DATE(YEAR(H14)-(($I14/12)-8),MONTH(H14),DAY(H14)),"dd/mm/yyyy"),", ",Constants!$V$6,TEXT(DATE(YEAR(H14)-(($I14/12)-9),MONTH(H14),DAY(H14)),"dd/mm/yyyy"),", ",Constants!$W$6,TEXT($H14,"dd/mm/yyyy")),IF(($I14/12)=5,_xlfn.CONCAT(Constants!$N$5,TEXT(DATE(YEAR(H14)-(($I14/12)-1),MONTH(H14),DAY(H14)),"dd/mm/yyyy"),", ",Constants!$O$5,TEXT(DATE(YEAR(H14)-(($I14/12)-2),MONTH(H14),DAY(H14)),"dd/mm/yyyy"),", ",Constants!$P$5,TEXT(DATE(YEAR(H14)-(($I14/12)-3),MONTH(H14),DAY(H14)),"dd/mm/yyyy"),", ",Constants!$Q$5,TEXT(DATE(YEAR(H14)-(($I14/12)-4),MONTH(H14),DAY(H14)),"dd/mm/yyyy"),", ",Constants!$R$5,TEXT($H14,"dd/mm/yyyy")),IF(($I14/12)=3,_xlfn.CONCAT(Constants!$N$4,TEXT(DATE(YEAR(H14)-(($I14/12)-1),MONTH(H14),DAY(H14)),"dd/mm/yyyy"),", ",Constants!$O$4,TEXT(DATE(YEAR(H14)-(($I14/12)-2),MONTH(H14),DAY(H14)),"dd/mm/yyyy"),", ",Constants!$P$4,TEXT($H14,"dd/mm/yyyy")),IF(($I14/12)=2,_xlfn.CONCAT(Constants!$N$3,TEXT(DATE(YEAR(H14)-(($I14/12)-1),MONTH(H14),DAY(H14)),"dd/mm/yyyy"),", ",Constants!$O$3,TEXT($H14,"dd/mm/yyyy")),IF(($I14/12)=1,_xlfn.CONCAT(Constants!$N$2,TEXT($H14,"dd/mm/yyyy")),"Update Constants"))))))),"")</f>
        <v>5% to 31/01/2026, 5% to 31/01/2027, 4% to 31/01/2028, 3% to 31/01/2029, 2% to 31/01/2030</v>
      </c>
      <c r="BC14" s="147">
        <f>_xlfn.IFNA(VALUE(INDEX(Producer!$K:$K,MATCH($D14,Producer!$A:$A,0))),"")</f>
        <v>0</v>
      </c>
      <c r="BD14" s="147" t="str">
        <f>_xlfn.IFNA(INDEX(Producer!$I:$I,MATCH($D14,Producer!$A:$A,0)),"")</f>
        <v>No</v>
      </c>
      <c r="BE14" s="147" t="str">
        <f t="shared" si="8"/>
        <v>Yes</v>
      </c>
      <c r="BF14" s="147"/>
      <c r="BG14" s="147"/>
      <c r="BH14" s="151">
        <f>_xlfn.IFNA(INDEX(Constants!$B:$B,MATCH(BC14,Constants!A:A,0)),"")</f>
        <v>0</v>
      </c>
      <c r="BI14" s="147">
        <f>IF(LEFT(B14,15)="Limited Company",Constants!$D$16,IFERROR(_xlfn.IFNA(IF(C14="Residential",IF(BK14&lt;75,INDEX(Constants!$B:$B,MATCH(VALUE(60)/100,Constants!$A:$A,0)),INDEX(Constants!$B:$B,MATCH(VALUE(BK14)/100,Constants!$A:$A,0))),IF(BK14&lt;60,INDEX(Constants!$C:$C,MATCH(VALUE(60)/100,Constants!$A:$A,0)),INDEX(Constants!$C:$C,MATCH(VALUE(BK14)/100,Constants!$A:$A,0)))),""),""))</f>
        <v>2000000</v>
      </c>
      <c r="BJ14" s="147">
        <f t="shared" si="9"/>
        <v>0</v>
      </c>
      <c r="BK14" s="147">
        <f>_xlfn.IFNA(VALUE(INDEX(Producer!$E:$E,MATCH($D14,Producer!$A:$A,0)))*100,"")</f>
        <v>75</v>
      </c>
      <c r="BL14" s="146" t="str">
        <f>_xlfn.IFNA(IF(IFERROR(FIND("Part &amp; Part",B14),-10)&gt;0,"PP",IF(OR(LEFT(B14,25)="Residential Interest Only",INDEX(Producer!$P:$P,MATCH($D14,Producer!$A:$A,0))="IO",INDEX(Producer!$P:$P,MATCH($D14,Producer!$A:$A,0))="Retirement Interest Only"),"IO",IF($C14="BuyToLet","CI, IO","CI"))),"")</f>
        <v>CI</v>
      </c>
      <c r="BM14" s="152" t="str">
        <f>_xlfn.IFNA(IF(BL14="IO",100%,IF(AND(INDEX(Producer!$P:$P,MATCH($D14,Producer!$A:$A,0))="Residential Interest Only Part &amp; Part",BK14=75),80%,IF(C14="BuyToLet",100%,IF(BL14="Interest Only",100%,IF(AND(INDEX(Producer!$P:$P,MATCH($D14,Producer!$A:$A,0))="Residential Interest Only Part &amp; Part",BK14=60),100%,""))))),"")</f>
        <v/>
      </c>
      <c r="BN14" s="218">
        <f>_xlfn.IFNA(IF(VALUE(INDEX(Producer!$H:$H,MATCH($D14,Producer!$A:$A,0)))=0,"",VALUE(INDEX(Producer!$H:$H,MATCH($D14,Producer!$A:$A,0)))),"")</f>
        <v>799</v>
      </c>
      <c r="BO14" s="153"/>
      <c r="BP14" s="153"/>
      <c r="BQ14" s="219">
        <f t="shared" si="10"/>
        <v>35</v>
      </c>
      <c r="BR14" s="146"/>
      <c r="BS14" s="146"/>
      <c r="BT14" s="146"/>
      <c r="BU14" s="146"/>
      <c r="BV14" s="219">
        <f t="shared" si="11"/>
        <v>199</v>
      </c>
      <c r="BW14" s="146"/>
      <c r="BX14" s="146"/>
      <c r="BY14" s="146" t="str">
        <f t="shared" si="12"/>
        <v>No</v>
      </c>
      <c r="BZ14" s="146" t="str">
        <f t="shared" si="13"/>
        <v>No</v>
      </c>
      <c r="CA14" s="146" t="str">
        <f t="shared" si="14"/>
        <v>No</v>
      </c>
      <c r="CB14" s="146" t="str">
        <f t="shared" si="15"/>
        <v>No</v>
      </c>
      <c r="CC14" s="146" t="str">
        <f>_xlfn.IFNA(IF(INDEX(Producer!$P:$P,MATCH($D14,Producer!$A:$A,0))="Help to Buy","Only available","No"),"")</f>
        <v>No</v>
      </c>
      <c r="CD14" s="146" t="str">
        <f>_xlfn.IFNA(IF(INDEX(Producer!$P:$P,MATCH($D14,Producer!$A:$A,0))="Shared Ownership","Only available","No"),"")</f>
        <v>No</v>
      </c>
      <c r="CE14" s="146" t="str">
        <f>_xlfn.IFNA(IF(INDEX(Producer!$P:$P,MATCH($D14,Producer!$A:$A,0))="Right to Buy","Only available","No"),"")</f>
        <v>No</v>
      </c>
      <c r="CF14" s="146" t="str">
        <f t="shared" si="16"/>
        <v>No</v>
      </c>
      <c r="CG14" s="146" t="str">
        <f>_xlfn.IFNA(IF(INDEX(Producer!$P:$P,MATCH($D14,Producer!$A:$A,0))="Retirement Interest Only","Only available","No"),"")</f>
        <v>No</v>
      </c>
      <c r="CH14" s="146" t="str">
        <f t="shared" si="17"/>
        <v>No</v>
      </c>
      <c r="CI14" s="146" t="str">
        <f>_xlfn.IFNA(IF(INDEX(Producer!$P:$P,MATCH($D14,Producer!$A:$A,0))="Intermediary Holiday Let","Only available","No"),"")</f>
        <v>No</v>
      </c>
      <c r="CJ14" s="146" t="str">
        <f t="shared" si="18"/>
        <v>No</v>
      </c>
      <c r="CK14" s="146" t="str">
        <f>_xlfn.IFNA(IF(OR(INDEX(Producer!$P:$P,MATCH($D14,Producer!$A:$A,0))="Intermediary Small HMO",INDEX(Producer!$P:$P,MATCH($D14,Producer!$A:$A,0))="Intermediary Large HMO"),"Only available","No"),"")</f>
        <v>No</v>
      </c>
      <c r="CL14" s="146" t="str">
        <f t="shared" si="19"/>
        <v>No</v>
      </c>
      <c r="CM14" s="146" t="str">
        <f t="shared" si="20"/>
        <v>No</v>
      </c>
      <c r="CN14" s="146" t="str">
        <f t="shared" si="21"/>
        <v>No</v>
      </c>
      <c r="CO14" s="146" t="str">
        <f t="shared" si="22"/>
        <v>Also available</v>
      </c>
      <c r="CP14" s="146" t="str">
        <f t="shared" si="23"/>
        <v>No</v>
      </c>
      <c r="CQ14" s="146" t="str">
        <f t="shared" si="24"/>
        <v>No</v>
      </c>
      <c r="CR14" s="146" t="str">
        <f t="shared" si="25"/>
        <v>Also available</v>
      </c>
      <c r="CS14" s="146" t="str">
        <f t="shared" si="26"/>
        <v>Only available</v>
      </c>
      <c r="CT14" s="146" t="str">
        <f t="shared" si="27"/>
        <v>No</v>
      </c>
      <c r="CU14" s="146"/>
    </row>
    <row r="15" spans="1:99" ht="16.399999999999999" customHeight="1" x14ac:dyDescent="0.35">
      <c r="A15" s="145" t="str">
        <f t="shared" si="0"/>
        <v>Leeds Building Society</v>
      </c>
      <c r="B15" s="145" t="str">
        <f>_xlfn.IFNA(_xlfn.CONCAT(INDEX(Producer!$P:$P,MATCH($D15,Producer!$A:$A,0))," ",IF(INDEX(Producer!$N:$N,MATCH($D15,Producer!$A:$A,0))="Yes","Green ",""),IF(AND(INDEX(Producer!$L:$L,MATCH($D15,Producer!$A:$A,0))="No",INDEX(Producer!$C:$C,MATCH($D15,Producer!$A:$A,0))="Fixed"),"Flexit ",""),INDEX(Producer!$B:$B,MATCH($D15,Producer!$A:$A,0))," Year ",INDEX(Producer!$C:$C,MATCH($D15,Producer!$A:$A,0))," ",VALUE(INDEX(Producer!$E:$E,MATCH($D15,Producer!$A:$A,0)))*100,"% LTV",IF(INDEX(Producer!$N:$N,MATCH($D15,Producer!$A:$A,0))="Yes"," (EPC A-C)","")," - ",IF(INDEX(Producer!$D:$D,MATCH($D15,Producer!$A:$A,0))="DLY","Daily","Annual")),"")</f>
        <v>Residential 5 Year Fixed 85% LTV - Daily</v>
      </c>
      <c r="C15" s="146" t="str">
        <f>_xlfn.IFNA(INDEX(Producer!$Q:$Q,MATCH($D15,Producer!$A:$A,0)),"")</f>
        <v>Residential</v>
      </c>
      <c r="D15" s="146">
        <f>IFERROR(VALUE(MID(Producer!$R$2,IF($D14="",1/0,FIND(_xlfn.CONCAT($D13,$D14),Producer!$R$2)+10),5)),"")</f>
        <v>54186</v>
      </c>
      <c r="E15" s="146" t="str">
        <f t="shared" si="1"/>
        <v>Fixed</v>
      </c>
      <c r="F15" s="146"/>
      <c r="G15" s="147">
        <f>_xlfn.IFNA(VALUE(INDEX(Producer!$F:$F,MATCH($D15,Producer!$A:$A,0)))*100,"")</f>
        <v>4.99</v>
      </c>
      <c r="H15" s="216">
        <f>_xlfn.IFNA(IFERROR(DATEVALUE(INDEX(Producer!$M:$M,MATCH($D15,Producer!$A:$A,0))),(INDEX(Producer!$M:$M,MATCH($D15,Producer!$A:$A,0)))),"")</f>
        <v>47514</v>
      </c>
      <c r="I15" s="217">
        <f>_xlfn.IFNA(VALUE(INDEX(Producer!$B:$B,MATCH($D15,Producer!$A:$A,0)))*12,"")</f>
        <v>60</v>
      </c>
      <c r="J15" s="146" t="str">
        <f>_xlfn.IFNA(IF(C15="Residential",IF(VALUE(INDEX(Producer!$B:$B,MATCH($D15,Producer!$A:$A,0)))&lt;5,Constants!$C$10,""),IF(VALUE(INDEX(Producer!$B:$B,MATCH($D15,Producer!$A:$A,0)))&lt;5,Constants!$C$11,"")),"")</f>
        <v/>
      </c>
      <c r="K15" s="216" t="str">
        <f>_xlfn.IFNA(IF(($I15)&lt;60,DATE(YEAR(H15)+(5-VALUE(INDEX(Producer!$B:$B,MATCH($D15,Producer!$A:$A,0)))),MONTH(H15),DAY(H15)),""),"")</f>
        <v/>
      </c>
      <c r="L15" s="153" t="str">
        <f t="shared" si="2"/>
        <v/>
      </c>
      <c r="M15" s="146"/>
      <c r="N15" s="148"/>
      <c r="O15" s="148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>
        <f>IF(D15="","",IF(C15="Residential",Constants!$B$10,Constants!$B$11))</f>
        <v>8.24</v>
      </c>
      <c r="AL15" s="146" t="str">
        <f t="shared" si="3"/>
        <v>SVR</v>
      </c>
      <c r="AM15" s="206" t="str">
        <f t="shared" si="4"/>
        <v/>
      </c>
      <c r="AN15" s="146">
        <f t="shared" si="5"/>
        <v>10</v>
      </c>
      <c r="AO15" s="149" t="str">
        <f t="shared" si="6"/>
        <v>Remortgage</v>
      </c>
      <c r="AP15" s="150" t="str">
        <f t="shared" si="7"/>
        <v>ProductTransfer</v>
      </c>
      <c r="AQ15" s="146">
        <f>IFERROR(_xlfn.IFNA(IF($BA15="No",0,IF(INDEX(Constants!B:B,MATCH(($I15/12),Constants!$A:$A,0))=0,0,INDEX(Constants!B:B,MATCH(($I15/12),Constants!$A:$A,0)))),0),"")</f>
        <v>5</v>
      </c>
      <c r="AR15" s="146">
        <f>IFERROR(_xlfn.IFNA(IF($BA15="No",0,IF(INDEX(Constants!C:C,MATCH(($I15/12),Constants!$A:$A,0))=0,0,INDEX(Constants!C:C,MATCH(($I15/12),Constants!$A:$A,0)))),0),"")</f>
        <v>5</v>
      </c>
      <c r="AS15" s="146">
        <f>IFERROR(_xlfn.IFNA(IF($BA15="No",0,IF(INDEX(Constants!D:D,MATCH(($I15/12),Constants!$A:$A,0))=0,0,INDEX(Constants!D:D,MATCH(($I15/12),Constants!$A:$A,0)))),0),"")</f>
        <v>4</v>
      </c>
      <c r="AT15" s="146">
        <f>IFERROR(_xlfn.IFNA(IF($BA15="No",0,IF(INDEX(Constants!E:E,MATCH(($I15/12),Constants!$A:$A,0))=0,0,INDEX(Constants!E:E,MATCH(($I15/12),Constants!$A:$A,0)))),0),"")</f>
        <v>3</v>
      </c>
      <c r="AU15" s="146">
        <f>IFERROR(_xlfn.IFNA(IF($BA15="No",0,IF(INDEX(Constants!F:F,MATCH(($I15/12),Constants!$A:$A,0))=0,0,INDEX(Constants!F:F,MATCH(($I15/12),Constants!$A:$A,0)))),0),"")</f>
        <v>2</v>
      </c>
      <c r="AV15" s="146">
        <f>IFERROR(_xlfn.IFNA(IF($BA15="No",0,IF(INDEX(Constants!G:G,MATCH(($I15/12),Constants!$A:$A,0))=0,0,INDEX(Constants!G:G,MATCH(($I15/12),Constants!$A:$A,0)))),0),"")</f>
        <v>0</v>
      </c>
      <c r="AW15" s="146">
        <f>IFERROR(_xlfn.IFNA(IF($BA15="No",0,IF(INDEX(Constants!H:H,MATCH(($I15/12),Constants!$A:$A,0))=0,0,INDEX(Constants!H:H,MATCH(($I15/12),Constants!$A:$A,0)))),0),"")</f>
        <v>0</v>
      </c>
      <c r="AX15" s="146">
        <f>IFERROR(_xlfn.IFNA(IF($BA15="No",0,IF(INDEX(Constants!I:I,MATCH(($I15/12),Constants!$A:$A,0))=0,0,INDEX(Constants!I:I,MATCH(($I15/12),Constants!$A:$A,0)))),0),"")</f>
        <v>0</v>
      </c>
      <c r="AY15" s="146">
        <f>IFERROR(_xlfn.IFNA(IF($BA15="No",0,IF(INDEX(Constants!J:J,MATCH(($I15/12),Constants!$A:$A,0))=0,0,INDEX(Constants!J:J,MATCH(($I15/12),Constants!$A:$A,0)))),0),"")</f>
        <v>0</v>
      </c>
      <c r="AZ15" s="146">
        <f>IFERROR(_xlfn.IFNA(IF($BA15="No",0,IF(INDEX(Constants!K:K,MATCH(($I15/12),Constants!$A:$A,0))=0,0,INDEX(Constants!K:K,MATCH(($I15/12),Constants!$A:$A,0)))),0),"")</f>
        <v>0</v>
      </c>
      <c r="BA15" s="147" t="str">
        <f>_xlfn.IFNA(INDEX(Producer!$L:$L,MATCH($D15,Producer!$A:$A,0)),"")</f>
        <v>Yes</v>
      </c>
      <c r="BB15" s="146" t="str">
        <f>IFERROR(IF(AQ15=0,"",IF(($I15/12)=15,_xlfn.CONCAT(Constants!$N$7,TEXT(DATE(YEAR(H15)-(($I15/12)-3),MONTH(H15),DAY(H15)),"dd/mm/yyyy"),", ",Constants!$P$7,TEXT(DATE(YEAR(H15)-(($I15/12)-8),MONTH(H15),DAY(H15)),"dd/mm/yyyy"),", ",Constants!$T$7,TEXT(DATE(YEAR(H15)-(($I15/12)-11),MONTH(H15),DAY(H15)),"dd/mm/yyyy"),", ",Constants!$V$7,TEXT(DATE(YEAR(H15)-(($I15/12)-13),MONTH(H15),DAY(H15)),"dd/mm/yyyy"),", ",Constants!$W$7,TEXT($H15,"dd/mm/yyyy")),IF(($I15/12)=10,_xlfn.CONCAT(Constants!$N$6,TEXT(DATE(YEAR(H15)-(($I15/12)-2),MONTH(H15),DAY(H15)),"dd/mm/yyyy"),", ",Constants!$P$6,TEXT(DATE(YEAR(H15)-(($I15/12)-6),MONTH(H15),DAY(H15)),"dd/mm/yyyy"),", ",Constants!$T$6,TEXT(DATE(YEAR(H15)-(($I15/12)-8),MONTH(H15),DAY(H15)),"dd/mm/yyyy"),", ",Constants!$V$6,TEXT(DATE(YEAR(H15)-(($I15/12)-9),MONTH(H15),DAY(H15)),"dd/mm/yyyy"),", ",Constants!$W$6,TEXT($H15,"dd/mm/yyyy")),IF(($I15/12)=5,_xlfn.CONCAT(Constants!$N$5,TEXT(DATE(YEAR(H15)-(($I15/12)-1),MONTH(H15),DAY(H15)),"dd/mm/yyyy"),", ",Constants!$O$5,TEXT(DATE(YEAR(H15)-(($I15/12)-2),MONTH(H15),DAY(H15)),"dd/mm/yyyy"),", ",Constants!$P$5,TEXT(DATE(YEAR(H15)-(($I15/12)-3),MONTH(H15),DAY(H15)),"dd/mm/yyyy"),", ",Constants!$Q$5,TEXT(DATE(YEAR(H15)-(($I15/12)-4),MONTH(H15),DAY(H15)),"dd/mm/yyyy"),", ",Constants!$R$5,TEXT($H15,"dd/mm/yyyy")),IF(($I15/12)=3,_xlfn.CONCAT(Constants!$N$4,TEXT(DATE(YEAR(H15)-(($I15/12)-1),MONTH(H15),DAY(H15)),"dd/mm/yyyy"),", ",Constants!$O$4,TEXT(DATE(YEAR(H15)-(($I15/12)-2),MONTH(H15),DAY(H15)),"dd/mm/yyyy"),", ",Constants!$P$4,TEXT($H15,"dd/mm/yyyy")),IF(($I15/12)=2,_xlfn.CONCAT(Constants!$N$3,TEXT(DATE(YEAR(H15)-(($I15/12)-1),MONTH(H15),DAY(H15)),"dd/mm/yyyy"),", ",Constants!$O$3,TEXT($H15,"dd/mm/yyyy")),IF(($I15/12)=1,_xlfn.CONCAT(Constants!$N$2,TEXT($H15,"dd/mm/yyyy")),"Update Constants"))))))),"")</f>
        <v>5% to 31/01/2026, 5% to 31/01/2027, 4% to 31/01/2028, 3% to 31/01/2029, 2% to 31/01/2030</v>
      </c>
      <c r="BC15" s="147">
        <f>_xlfn.IFNA(VALUE(INDEX(Producer!$K:$K,MATCH($D15,Producer!$A:$A,0))),"")</f>
        <v>0</v>
      </c>
      <c r="BD15" s="147" t="str">
        <f>_xlfn.IFNA(INDEX(Producer!$I:$I,MATCH($D15,Producer!$A:$A,0)),"")</f>
        <v>No</v>
      </c>
      <c r="BE15" s="147" t="str">
        <f t="shared" si="8"/>
        <v>Yes</v>
      </c>
      <c r="BF15" s="147"/>
      <c r="BG15" s="147"/>
      <c r="BH15" s="151">
        <f>_xlfn.IFNA(INDEX(Constants!$B:$B,MATCH(BC15,Constants!A:A,0)),"")</f>
        <v>0</v>
      </c>
      <c r="BI15" s="147">
        <f>IF(LEFT(B15,15)="Limited Company",Constants!$D$16,IFERROR(_xlfn.IFNA(IF(C15="Residential",IF(BK15&lt;75,INDEX(Constants!$B:$B,MATCH(VALUE(60)/100,Constants!$A:$A,0)),INDEX(Constants!$B:$B,MATCH(VALUE(BK15)/100,Constants!$A:$A,0))),IF(BK15&lt;60,INDEX(Constants!$C:$C,MATCH(VALUE(60)/100,Constants!$A:$A,0)),INDEX(Constants!$C:$C,MATCH(VALUE(BK15)/100,Constants!$A:$A,0)))),""),""))</f>
        <v>2000000</v>
      </c>
      <c r="BJ15" s="147">
        <f t="shared" si="9"/>
        <v>0</v>
      </c>
      <c r="BK15" s="147">
        <f>_xlfn.IFNA(VALUE(INDEX(Producer!$E:$E,MATCH($D15,Producer!$A:$A,0)))*100,"")</f>
        <v>85</v>
      </c>
      <c r="BL15" s="146" t="str">
        <f>_xlfn.IFNA(IF(IFERROR(FIND("Part &amp; Part",B15),-10)&gt;0,"PP",IF(OR(LEFT(B15,25)="Residential Interest Only",INDEX(Producer!$P:$P,MATCH($D15,Producer!$A:$A,0))="IO",INDEX(Producer!$P:$P,MATCH($D15,Producer!$A:$A,0))="Retirement Interest Only"),"IO",IF($C15="BuyToLet","CI, IO","CI"))),"")</f>
        <v>CI</v>
      </c>
      <c r="BM15" s="152" t="str">
        <f>_xlfn.IFNA(IF(BL15="IO",100%,IF(AND(INDEX(Producer!$P:$P,MATCH($D15,Producer!$A:$A,0))="Residential Interest Only Part &amp; Part",BK15=75),80%,IF(C15="BuyToLet",100%,IF(BL15="Interest Only",100%,IF(AND(INDEX(Producer!$P:$P,MATCH($D15,Producer!$A:$A,0))="Residential Interest Only Part &amp; Part",BK15=60),100%,""))))),"")</f>
        <v/>
      </c>
      <c r="BN15" s="218" t="str">
        <f>_xlfn.IFNA(IF(VALUE(INDEX(Producer!$H:$H,MATCH($D15,Producer!$A:$A,0)))=0,"",VALUE(INDEX(Producer!$H:$H,MATCH($D15,Producer!$A:$A,0)))),"")</f>
        <v/>
      </c>
      <c r="BO15" s="153"/>
      <c r="BP15" s="153"/>
      <c r="BQ15" s="219">
        <f t="shared" si="10"/>
        <v>35</v>
      </c>
      <c r="BR15" s="146"/>
      <c r="BS15" s="146"/>
      <c r="BT15" s="146"/>
      <c r="BU15" s="146"/>
      <c r="BV15" s="219">
        <f t="shared" si="11"/>
        <v>199</v>
      </c>
      <c r="BW15" s="146"/>
      <c r="BX15" s="146"/>
      <c r="BY15" s="146" t="str">
        <f t="shared" si="12"/>
        <v>No</v>
      </c>
      <c r="BZ15" s="146" t="str">
        <f t="shared" si="13"/>
        <v>No</v>
      </c>
      <c r="CA15" s="146" t="str">
        <f t="shared" si="14"/>
        <v>No</v>
      </c>
      <c r="CB15" s="146" t="str">
        <f t="shared" si="15"/>
        <v>No</v>
      </c>
      <c r="CC15" s="146" t="str">
        <f>_xlfn.IFNA(IF(INDEX(Producer!$P:$P,MATCH($D15,Producer!$A:$A,0))="Help to Buy","Only available","No"),"")</f>
        <v>No</v>
      </c>
      <c r="CD15" s="146" t="str">
        <f>_xlfn.IFNA(IF(INDEX(Producer!$P:$P,MATCH($D15,Producer!$A:$A,0))="Shared Ownership","Only available","No"),"")</f>
        <v>No</v>
      </c>
      <c r="CE15" s="146" t="str">
        <f>_xlfn.IFNA(IF(INDEX(Producer!$P:$P,MATCH($D15,Producer!$A:$A,0))="Right to Buy","Only available","No"),"")</f>
        <v>No</v>
      </c>
      <c r="CF15" s="146" t="str">
        <f t="shared" si="16"/>
        <v>No</v>
      </c>
      <c r="CG15" s="146" t="str">
        <f>_xlfn.IFNA(IF(INDEX(Producer!$P:$P,MATCH($D15,Producer!$A:$A,0))="Retirement Interest Only","Only available","No"),"")</f>
        <v>No</v>
      </c>
      <c r="CH15" s="146" t="str">
        <f t="shared" si="17"/>
        <v>No</v>
      </c>
      <c r="CI15" s="146" t="str">
        <f>_xlfn.IFNA(IF(INDEX(Producer!$P:$P,MATCH($D15,Producer!$A:$A,0))="Intermediary Holiday Let","Only available","No"),"")</f>
        <v>No</v>
      </c>
      <c r="CJ15" s="146" t="str">
        <f t="shared" si="18"/>
        <v>No</v>
      </c>
      <c r="CK15" s="146" t="str">
        <f>_xlfn.IFNA(IF(OR(INDEX(Producer!$P:$P,MATCH($D15,Producer!$A:$A,0))="Intermediary Small HMO",INDEX(Producer!$P:$P,MATCH($D15,Producer!$A:$A,0))="Intermediary Large HMO"),"Only available","No"),"")</f>
        <v>No</v>
      </c>
      <c r="CL15" s="146" t="str">
        <f t="shared" si="19"/>
        <v>No</v>
      </c>
      <c r="CM15" s="146" t="str">
        <f t="shared" si="20"/>
        <v>No</v>
      </c>
      <c r="CN15" s="146" t="str">
        <f t="shared" si="21"/>
        <v>No</v>
      </c>
      <c r="CO15" s="146" t="str">
        <f t="shared" si="22"/>
        <v>Also available</v>
      </c>
      <c r="CP15" s="146" t="str">
        <f t="shared" si="23"/>
        <v>No</v>
      </c>
      <c r="CQ15" s="146" t="str">
        <f t="shared" si="24"/>
        <v>No</v>
      </c>
      <c r="CR15" s="146" t="str">
        <f t="shared" si="25"/>
        <v>Also available</v>
      </c>
      <c r="CS15" s="146" t="str">
        <f t="shared" si="26"/>
        <v>Only available</v>
      </c>
      <c r="CT15" s="146" t="str">
        <f t="shared" si="27"/>
        <v>No</v>
      </c>
      <c r="CU15" s="146"/>
    </row>
    <row r="16" spans="1:99" ht="16.399999999999999" customHeight="1" x14ac:dyDescent="0.35">
      <c r="A16" s="145" t="str">
        <f t="shared" si="0"/>
        <v>Leeds Building Society</v>
      </c>
      <c r="B16" s="145" t="str">
        <f>_xlfn.IFNA(_xlfn.CONCAT(INDEX(Producer!$P:$P,MATCH($D16,Producer!$A:$A,0))," ",IF(INDEX(Producer!$N:$N,MATCH($D16,Producer!$A:$A,0))="Yes","Green ",""),IF(AND(INDEX(Producer!$L:$L,MATCH($D16,Producer!$A:$A,0))="No",INDEX(Producer!$C:$C,MATCH($D16,Producer!$A:$A,0))="Fixed"),"Flexit ",""),INDEX(Producer!$B:$B,MATCH($D16,Producer!$A:$A,0))," Year ",INDEX(Producer!$C:$C,MATCH($D16,Producer!$A:$A,0))," ",VALUE(INDEX(Producer!$E:$E,MATCH($D16,Producer!$A:$A,0)))*100,"% LTV",IF(INDEX(Producer!$N:$N,MATCH($D16,Producer!$A:$A,0))="Yes"," (EPC A-C)","")," - ",IF(INDEX(Producer!$D:$D,MATCH($D16,Producer!$A:$A,0))="DLY","Daily","Annual")),"")</f>
        <v>Residential 5 Year Fixed 90% LTV - Daily</v>
      </c>
      <c r="C16" s="146" t="str">
        <f>_xlfn.IFNA(INDEX(Producer!$Q:$Q,MATCH($D16,Producer!$A:$A,0)),"")</f>
        <v>Residential</v>
      </c>
      <c r="D16" s="146">
        <f>IFERROR(VALUE(MID(Producer!$R$2,IF($D15="",1/0,FIND(_xlfn.CONCAT($D14,$D15),Producer!$R$2)+10),5)),"")</f>
        <v>54183</v>
      </c>
      <c r="E16" s="146" t="str">
        <f t="shared" si="1"/>
        <v>Fixed</v>
      </c>
      <c r="F16" s="146"/>
      <c r="G16" s="147">
        <f>_xlfn.IFNA(VALUE(INDEX(Producer!$F:$F,MATCH($D16,Producer!$A:$A,0)))*100,"")</f>
        <v>5.19</v>
      </c>
      <c r="H16" s="216">
        <f>_xlfn.IFNA(IFERROR(DATEVALUE(INDEX(Producer!$M:$M,MATCH($D16,Producer!$A:$A,0))),(INDEX(Producer!$M:$M,MATCH($D16,Producer!$A:$A,0)))),"")</f>
        <v>47514</v>
      </c>
      <c r="I16" s="217">
        <f>_xlfn.IFNA(VALUE(INDEX(Producer!$B:$B,MATCH($D16,Producer!$A:$A,0)))*12,"")</f>
        <v>60</v>
      </c>
      <c r="J16" s="146" t="str">
        <f>_xlfn.IFNA(IF(C16="Residential",IF(VALUE(INDEX(Producer!$B:$B,MATCH($D16,Producer!$A:$A,0)))&lt;5,Constants!$C$10,""),IF(VALUE(INDEX(Producer!$B:$B,MATCH($D16,Producer!$A:$A,0)))&lt;5,Constants!$C$11,"")),"")</f>
        <v/>
      </c>
      <c r="K16" s="216" t="str">
        <f>_xlfn.IFNA(IF(($I16)&lt;60,DATE(YEAR(H16)+(5-VALUE(INDEX(Producer!$B:$B,MATCH($D16,Producer!$A:$A,0)))),MONTH(H16),DAY(H16)),""),"")</f>
        <v/>
      </c>
      <c r="L16" s="153" t="str">
        <f t="shared" si="2"/>
        <v/>
      </c>
      <c r="M16" s="146"/>
      <c r="N16" s="148"/>
      <c r="O16" s="148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>
        <f>IF(D16="","",IF(C16="Residential",Constants!$B$10,Constants!$B$11))</f>
        <v>8.24</v>
      </c>
      <c r="AL16" s="146" t="str">
        <f t="shared" si="3"/>
        <v>SVR</v>
      </c>
      <c r="AM16" s="206" t="str">
        <f t="shared" si="4"/>
        <v/>
      </c>
      <c r="AN16" s="146">
        <f t="shared" si="5"/>
        <v>10</v>
      </c>
      <c r="AO16" s="149" t="str">
        <f t="shared" si="6"/>
        <v>Remortgage</v>
      </c>
      <c r="AP16" s="150" t="str">
        <f t="shared" si="7"/>
        <v>ProductTransfer</v>
      </c>
      <c r="AQ16" s="146">
        <f>IFERROR(_xlfn.IFNA(IF($BA16="No",0,IF(INDEX(Constants!B:B,MATCH(($I16/12),Constants!$A:$A,0))=0,0,INDEX(Constants!B:B,MATCH(($I16/12),Constants!$A:$A,0)))),0),"")</f>
        <v>5</v>
      </c>
      <c r="AR16" s="146">
        <f>IFERROR(_xlfn.IFNA(IF($BA16="No",0,IF(INDEX(Constants!C:C,MATCH(($I16/12),Constants!$A:$A,0))=0,0,INDEX(Constants!C:C,MATCH(($I16/12),Constants!$A:$A,0)))),0),"")</f>
        <v>5</v>
      </c>
      <c r="AS16" s="146">
        <f>IFERROR(_xlfn.IFNA(IF($BA16="No",0,IF(INDEX(Constants!D:D,MATCH(($I16/12),Constants!$A:$A,0))=0,0,INDEX(Constants!D:D,MATCH(($I16/12),Constants!$A:$A,0)))),0),"")</f>
        <v>4</v>
      </c>
      <c r="AT16" s="146">
        <f>IFERROR(_xlfn.IFNA(IF($BA16="No",0,IF(INDEX(Constants!E:E,MATCH(($I16/12),Constants!$A:$A,0))=0,0,INDEX(Constants!E:E,MATCH(($I16/12),Constants!$A:$A,0)))),0),"")</f>
        <v>3</v>
      </c>
      <c r="AU16" s="146">
        <f>IFERROR(_xlfn.IFNA(IF($BA16="No",0,IF(INDEX(Constants!F:F,MATCH(($I16/12),Constants!$A:$A,0))=0,0,INDEX(Constants!F:F,MATCH(($I16/12),Constants!$A:$A,0)))),0),"")</f>
        <v>2</v>
      </c>
      <c r="AV16" s="146">
        <f>IFERROR(_xlfn.IFNA(IF($BA16="No",0,IF(INDEX(Constants!G:G,MATCH(($I16/12),Constants!$A:$A,0))=0,0,INDEX(Constants!G:G,MATCH(($I16/12),Constants!$A:$A,0)))),0),"")</f>
        <v>0</v>
      </c>
      <c r="AW16" s="146">
        <f>IFERROR(_xlfn.IFNA(IF($BA16="No",0,IF(INDEX(Constants!H:H,MATCH(($I16/12),Constants!$A:$A,0))=0,0,INDEX(Constants!H:H,MATCH(($I16/12),Constants!$A:$A,0)))),0),"")</f>
        <v>0</v>
      </c>
      <c r="AX16" s="146">
        <f>IFERROR(_xlfn.IFNA(IF($BA16="No",0,IF(INDEX(Constants!I:I,MATCH(($I16/12),Constants!$A:$A,0))=0,0,INDEX(Constants!I:I,MATCH(($I16/12),Constants!$A:$A,0)))),0),"")</f>
        <v>0</v>
      </c>
      <c r="AY16" s="146">
        <f>IFERROR(_xlfn.IFNA(IF($BA16="No",0,IF(INDEX(Constants!J:J,MATCH(($I16/12),Constants!$A:$A,0))=0,0,INDEX(Constants!J:J,MATCH(($I16/12),Constants!$A:$A,0)))),0),"")</f>
        <v>0</v>
      </c>
      <c r="AZ16" s="146">
        <f>IFERROR(_xlfn.IFNA(IF($BA16="No",0,IF(INDEX(Constants!K:K,MATCH(($I16/12),Constants!$A:$A,0))=0,0,INDEX(Constants!K:K,MATCH(($I16/12),Constants!$A:$A,0)))),0),"")</f>
        <v>0</v>
      </c>
      <c r="BA16" s="147" t="str">
        <f>_xlfn.IFNA(INDEX(Producer!$L:$L,MATCH($D16,Producer!$A:$A,0)),"")</f>
        <v>Yes</v>
      </c>
      <c r="BB16" s="146" t="str">
        <f>IFERROR(IF(AQ16=0,"",IF(($I16/12)=15,_xlfn.CONCAT(Constants!$N$7,TEXT(DATE(YEAR(H16)-(($I16/12)-3),MONTH(H16),DAY(H16)),"dd/mm/yyyy"),", ",Constants!$P$7,TEXT(DATE(YEAR(H16)-(($I16/12)-8),MONTH(H16),DAY(H16)),"dd/mm/yyyy"),", ",Constants!$T$7,TEXT(DATE(YEAR(H16)-(($I16/12)-11),MONTH(H16),DAY(H16)),"dd/mm/yyyy"),", ",Constants!$V$7,TEXT(DATE(YEAR(H16)-(($I16/12)-13),MONTH(H16),DAY(H16)),"dd/mm/yyyy"),", ",Constants!$W$7,TEXT($H16,"dd/mm/yyyy")),IF(($I16/12)=10,_xlfn.CONCAT(Constants!$N$6,TEXT(DATE(YEAR(H16)-(($I16/12)-2),MONTH(H16),DAY(H16)),"dd/mm/yyyy"),", ",Constants!$P$6,TEXT(DATE(YEAR(H16)-(($I16/12)-6),MONTH(H16),DAY(H16)),"dd/mm/yyyy"),", ",Constants!$T$6,TEXT(DATE(YEAR(H16)-(($I16/12)-8),MONTH(H16),DAY(H16)),"dd/mm/yyyy"),", ",Constants!$V$6,TEXT(DATE(YEAR(H16)-(($I16/12)-9),MONTH(H16),DAY(H16)),"dd/mm/yyyy"),", ",Constants!$W$6,TEXT($H16,"dd/mm/yyyy")),IF(($I16/12)=5,_xlfn.CONCAT(Constants!$N$5,TEXT(DATE(YEAR(H16)-(($I16/12)-1),MONTH(H16),DAY(H16)),"dd/mm/yyyy"),", ",Constants!$O$5,TEXT(DATE(YEAR(H16)-(($I16/12)-2),MONTH(H16),DAY(H16)),"dd/mm/yyyy"),", ",Constants!$P$5,TEXT(DATE(YEAR(H16)-(($I16/12)-3),MONTH(H16),DAY(H16)),"dd/mm/yyyy"),", ",Constants!$Q$5,TEXT(DATE(YEAR(H16)-(($I16/12)-4),MONTH(H16),DAY(H16)),"dd/mm/yyyy"),", ",Constants!$R$5,TEXT($H16,"dd/mm/yyyy")),IF(($I16/12)=3,_xlfn.CONCAT(Constants!$N$4,TEXT(DATE(YEAR(H16)-(($I16/12)-1),MONTH(H16),DAY(H16)),"dd/mm/yyyy"),", ",Constants!$O$4,TEXT(DATE(YEAR(H16)-(($I16/12)-2),MONTH(H16),DAY(H16)),"dd/mm/yyyy"),", ",Constants!$P$4,TEXT($H16,"dd/mm/yyyy")),IF(($I16/12)=2,_xlfn.CONCAT(Constants!$N$3,TEXT(DATE(YEAR(H16)-(($I16/12)-1),MONTH(H16),DAY(H16)),"dd/mm/yyyy"),", ",Constants!$O$3,TEXT($H16,"dd/mm/yyyy")),IF(($I16/12)=1,_xlfn.CONCAT(Constants!$N$2,TEXT($H16,"dd/mm/yyyy")),"Update Constants"))))))),"")</f>
        <v>5% to 31/01/2026, 5% to 31/01/2027, 4% to 31/01/2028, 3% to 31/01/2029, 2% to 31/01/2030</v>
      </c>
      <c r="BC16" s="147">
        <f>_xlfn.IFNA(VALUE(INDEX(Producer!$K:$K,MATCH($D16,Producer!$A:$A,0))),"")</f>
        <v>0</v>
      </c>
      <c r="BD16" s="147" t="str">
        <f>_xlfn.IFNA(INDEX(Producer!$I:$I,MATCH($D16,Producer!$A:$A,0)),"")</f>
        <v>No</v>
      </c>
      <c r="BE16" s="147" t="str">
        <f t="shared" si="8"/>
        <v>Yes</v>
      </c>
      <c r="BF16" s="147"/>
      <c r="BG16" s="147"/>
      <c r="BH16" s="151">
        <f>_xlfn.IFNA(INDEX(Constants!$B:$B,MATCH(BC16,Constants!A:A,0)),"")</f>
        <v>0</v>
      </c>
      <c r="BI16" s="147">
        <f>IF(LEFT(B16,15)="Limited Company",Constants!$D$16,IFERROR(_xlfn.IFNA(IF(C16="Residential",IF(BK16&lt;75,INDEX(Constants!$B:$B,MATCH(VALUE(60)/100,Constants!$A:$A,0)),INDEX(Constants!$B:$B,MATCH(VALUE(BK16)/100,Constants!$A:$A,0))),IF(BK16&lt;60,INDEX(Constants!$C:$C,MATCH(VALUE(60)/100,Constants!$A:$A,0)),INDEX(Constants!$C:$C,MATCH(VALUE(BK16)/100,Constants!$A:$A,0)))),""),""))</f>
        <v>2000000</v>
      </c>
      <c r="BJ16" s="147">
        <f t="shared" si="9"/>
        <v>0</v>
      </c>
      <c r="BK16" s="147">
        <f>_xlfn.IFNA(VALUE(INDEX(Producer!$E:$E,MATCH($D16,Producer!$A:$A,0)))*100,"")</f>
        <v>90</v>
      </c>
      <c r="BL16" s="146" t="str">
        <f>_xlfn.IFNA(IF(IFERROR(FIND("Part &amp; Part",B16),-10)&gt;0,"PP",IF(OR(LEFT(B16,25)="Residential Interest Only",INDEX(Producer!$P:$P,MATCH($D16,Producer!$A:$A,0))="IO",INDEX(Producer!$P:$P,MATCH($D16,Producer!$A:$A,0))="Retirement Interest Only"),"IO",IF($C16="BuyToLet","CI, IO","CI"))),"")</f>
        <v>CI</v>
      </c>
      <c r="BM16" s="152" t="str">
        <f>_xlfn.IFNA(IF(BL16="IO",100%,IF(AND(INDEX(Producer!$P:$P,MATCH($D16,Producer!$A:$A,0))="Residential Interest Only Part &amp; Part",BK16=75),80%,IF(C16="BuyToLet",100%,IF(BL16="Interest Only",100%,IF(AND(INDEX(Producer!$P:$P,MATCH($D16,Producer!$A:$A,0))="Residential Interest Only Part &amp; Part",BK16=60),100%,""))))),"")</f>
        <v/>
      </c>
      <c r="BN16" s="218" t="str">
        <f>_xlfn.IFNA(IF(VALUE(INDEX(Producer!$H:$H,MATCH($D16,Producer!$A:$A,0)))=0,"",VALUE(INDEX(Producer!$H:$H,MATCH($D16,Producer!$A:$A,0)))),"")</f>
        <v/>
      </c>
      <c r="BO16" s="153"/>
      <c r="BP16" s="153"/>
      <c r="BQ16" s="219">
        <f t="shared" si="10"/>
        <v>35</v>
      </c>
      <c r="BR16" s="146"/>
      <c r="BS16" s="146"/>
      <c r="BT16" s="146"/>
      <c r="BU16" s="146"/>
      <c r="BV16" s="219">
        <f t="shared" si="11"/>
        <v>199</v>
      </c>
      <c r="BW16" s="146"/>
      <c r="BX16" s="146"/>
      <c r="BY16" s="146" t="str">
        <f t="shared" si="12"/>
        <v>No</v>
      </c>
      <c r="BZ16" s="146" t="str">
        <f t="shared" si="13"/>
        <v>No</v>
      </c>
      <c r="CA16" s="146" t="str">
        <f t="shared" si="14"/>
        <v>No</v>
      </c>
      <c r="CB16" s="146" t="str">
        <f t="shared" si="15"/>
        <v>No</v>
      </c>
      <c r="CC16" s="146" t="str">
        <f>_xlfn.IFNA(IF(INDEX(Producer!$P:$P,MATCH($D16,Producer!$A:$A,0))="Help to Buy","Only available","No"),"")</f>
        <v>No</v>
      </c>
      <c r="CD16" s="146" t="str">
        <f>_xlfn.IFNA(IF(INDEX(Producer!$P:$P,MATCH($D16,Producer!$A:$A,0))="Shared Ownership","Only available","No"),"")</f>
        <v>No</v>
      </c>
      <c r="CE16" s="146" t="str">
        <f>_xlfn.IFNA(IF(INDEX(Producer!$P:$P,MATCH($D16,Producer!$A:$A,0))="Right to Buy","Only available","No"),"")</f>
        <v>No</v>
      </c>
      <c r="CF16" s="146" t="str">
        <f t="shared" si="16"/>
        <v>No</v>
      </c>
      <c r="CG16" s="146" t="str">
        <f>_xlfn.IFNA(IF(INDEX(Producer!$P:$P,MATCH($D16,Producer!$A:$A,0))="Retirement Interest Only","Only available","No"),"")</f>
        <v>No</v>
      </c>
      <c r="CH16" s="146" t="str">
        <f t="shared" si="17"/>
        <v>No</v>
      </c>
      <c r="CI16" s="146" t="str">
        <f>_xlfn.IFNA(IF(INDEX(Producer!$P:$P,MATCH($D16,Producer!$A:$A,0))="Intermediary Holiday Let","Only available","No"),"")</f>
        <v>No</v>
      </c>
      <c r="CJ16" s="146" t="str">
        <f t="shared" si="18"/>
        <v>No</v>
      </c>
      <c r="CK16" s="146" t="str">
        <f>_xlfn.IFNA(IF(OR(INDEX(Producer!$P:$P,MATCH($D16,Producer!$A:$A,0))="Intermediary Small HMO",INDEX(Producer!$P:$P,MATCH($D16,Producer!$A:$A,0))="Intermediary Large HMO"),"Only available","No"),"")</f>
        <v>No</v>
      </c>
      <c r="CL16" s="146" t="str">
        <f t="shared" si="19"/>
        <v>No</v>
      </c>
      <c r="CM16" s="146" t="str">
        <f t="shared" si="20"/>
        <v>No</v>
      </c>
      <c r="CN16" s="146" t="str">
        <f t="shared" si="21"/>
        <v>No</v>
      </c>
      <c r="CO16" s="146" t="str">
        <f t="shared" si="22"/>
        <v>Also available</v>
      </c>
      <c r="CP16" s="146" t="str">
        <f t="shared" si="23"/>
        <v>No</v>
      </c>
      <c r="CQ16" s="146" t="str">
        <f t="shared" si="24"/>
        <v>No</v>
      </c>
      <c r="CR16" s="146" t="str">
        <f t="shared" si="25"/>
        <v>Also available</v>
      </c>
      <c r="CS16" s="146" t="str">
        <f t="shared" si="26"/>
        <v>Only available</v>
      </c>
      <c r="CT16" s="146" t="str">
        <f t="shared" si="27"/>
        <v>No</v>
      </c>
      <c r="CU16" s="146"/>
    </row>
    <row r="17" spans="1:99" ht="16.399999999999999" customHeight="1" x14ac:dyDescent="0.35">
      <c r="A17" s="145" t="str">
        <f t="shared" si="0"/>
        <v>Leeds Building Society</v>
      </c>
      <c r="B17" s="145" t="str">
        <f>_xlfn.IFNA(_xlfn.CONCAT(INDEX(Producer!$P:$P,MATCH($D17,Producer!$A:$A,0))," ",IF(INDEX(Producer!$N:$N,MATCH($D17,Producer!$A:$A,0))="Yes","Green ",""),IF(AND(INDEX(Producer!$L:$L,MATCH($D17,Producer!$A:$A,0))="No",INDEX(Producer!$C:$C,MATCH($D17,Producer!$A:$A,0))="Fixed"),"Flexit ",""),INDEX(Producer!$B:$B,MATCH($D17,Producer!$A:$A,0))," Year ",INDEX(Producer!$C:$C,MATCH($D17,Producer!$A:$A,0))," ",VALUE(INDEX(Producer!$E:$E,MATCH($D17,Producer!$A:$A,0)))*100,"% LTV",IF(INDEX(Producer!$N:$N,MATCH($D17,Producer!$A:$A,0))="Yes"," (EPC A-C)","")," - ",IF(INDEX(Producer!$D:$D,MATCH($D17,Producer!$A:$A,0))="DLY","Daily","Annual")),"")</f>
        <v>Residential 5 Year Fixed 95% LTV - Daily</v>
      </c>
      <c r="C17" s="146" t="str">
        <f>_xlfn.IFNA(INDEX(Producer!$Q:$Q,MATCH($D17,Producer!$A:$A,0)),"")</f>
        <v>Residential</v>
      </c>
      <c r="D17" s="146">
        <f>IFERROR(VALUE(MID(Producer!$R$2,IF($D16="",1/0,FIND(_xlfn.CONCAT($D15,$D16),Producer!$R$2)+10),5)),"")</f>
        <v>54185</v>
      </c>
      <c r="E17" s="146" t="str">
        <f t="shared" si="1"/>
        <v>Fixed</v>
      </c>
      <c r="F17" s="146"/>
      <c r="G17" s="147">
        <f>_xlfn.IFNA(VALUE(INDEX(Producer!$F:$F,MATCH($D17,Producer!$A:$A,0)))*100,"")</f>
        <v>5.35</v>
      </c>
      <c r="H17" s="216">
        <f>_xlfn.IFNA(IFERROR(DATEVALUE(INDEX(Producer!$M:$M,MATCH($D17,Producer!$A:$A,0))),(INDEX(Producer!$M:$M,MATCH($D17,Producer!$A:$A,0)))),"")</f>
        <v>47514</v>
      </c>
      <c r="I17" s="217">
        <f>_xlfn.IFNA(VALUE(INDEX(Producer!$B:$B,MATCH($D17,Producer!$A:$A,0)))*12,"")</f>
        <v>60</v>
      </c>
      <c r="J17" s="146" t="str">
        <f>_xlfn.IFNA(IF(C17="Residential",IF(VALUE(INDEX(Producer!$B:$B,MATCH($D17,Producer!$A:$A,0)))&lt;5,Constants!$C$10,""),IF(VALUE(INDEX(Producer!$B:$B,MATCH($D17,Producer!$A:$A,0)))&lt;5,Constants!$C$11,"")),"")</f>
        <v/>
      </c>
      <c r="K17" s="216" t="str">
        <f>_xlfn.IFNA(IF(($I17)&lt;60,DATE(YEAR(H17)+(5-VALUE(INDEX(Producer!$B:$B,MATCH($D17,Producer!$A:$A,0)))),MONTH(H17),DAY(H17)),""),"")</f>
        <v/>
      </c>
      <c r="L17" s="153" t="str">
        <f t="shared" si="2"/>
        <v/>
      </c>
      <c r="M17" s="146"/>
      <c r="N17" s="148"/>
      <c r="O17" s="148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>
        <f>IF(D17="","",IF(C17="Residential",Constants!$B$10,Constants!$B$11))</f>
        <v>8.24</v>
      </c>
      <c r="AL17" s="146" t="str">
        <f t="shared" si="3"/>
        <v>SVR</v>
      </c>
      <c r="AM17" s="206" t="str">
        <f t="shared" si="4"/>
        <v/>
      </c>
      <c r="AN17" s="146">
        <f t="shared" si="5"/>
        <v>10</v>
      </c>
      <c r="AO17" s="149" t="str">
        <f t="shared" si="6"/>
        <v>Remortgage</v>
      </c>
      <c r="AP17" s="150" t="str">
        <f t="shared" si="7"/>
        <v>ProductTransfer</v>
      </c>
      <c r="AQ17" s="146">
        <f>IFERROR(_xlfn.IFNA(IF($BA17="No",0,IF(INDEX(Constants!B:B,MATCH(($I17/12),Constants!$A:$A,0))=0,0,INDEX(Constants!B:B,MATCH(($I17/12),Constants!$A:$A,0)))),0),"")</f>
        <v>5</v>
      </c>
      <c r="AR17" s="146">
        <f>IFERROR(_xlfn.IFNA(IF($BA17="No",0,IF(INDEX(Constants!C:C,MATCH(($I17/12),Constants!$A:$A,0))=0,0,INDEX(Constants!C:C,MATCH(($I17/12),Constants!$A:$A,0)))),0),"")</f>
        <v>5</v>
      </c>
      <c r="AS17" s="146">
        <f>IFERROR(_xlfn.IFNA(IF($BA17="No",0,IF(INDEX(Constants!D:D,MATCH(($I17/12),Constants!$A:$A,0))=0,0,INDEX(Constants!D:D,MATCH(($I17/12),Constants!$A:$A,0)))),0),"")</f>
        <v>4</v>
      </c>
      <c r="AT17" s="146">
        <f>IFERROR(_xlfn.IFNA(IF($BA17="No",0,IF(INDEX(Constants!E:E,MATCH(($I17/12),Constants!$A:$A,0))=0,0,INDEX(Constants!E:E,MATCH(($I17/12),Constants!$A:$A,0)))),0),"")</f>
        <v>3</v>
      </c>
      <c r="AU17" s="146">
        <f>IFERROR(_xlfn.IFNA(IF($BA17="No",0,IF(INDEX(Constants!F:F,MATCH(($I17/12),Constants!$A:$A,0))=0,0,INDEX(Constants!F:F,MATCH(($I17/12),Constants!$A:$A,0)))),0),"")</f>
        <v>2</v>
      </c>
      <c r="AV17" s="146">
        <f>IFERROR(_xlfn.IFNA(IF($BA17="No",0,IF(INDEX(Constants!G:G,MATCH(($I17/12),Constants!$A:$A,0))=0,0,INDEX(Constants!G:G,MATCH(($I17/12),Constants!$A:$A,0)))),0),"")</f>
        <v>0</v>
      </c>
      <c r="AW17" s="146">
        <f>IFERROR(_xlfn.IFNA(IF($BA17="No",0,IF(INDEX(Constants!H:H,MATCH(($I17/12),Constants!$A:$A,0))=0,0,INDEX(Constants!H:H,MATCH(($I17/12),Constants!$A:$A,0)))),0),"")</f>
        <v>0</v>
      </c>
      <c r="AX17" s="146">
        <f>IFERROR(_xlfn.IFNA(IF($BA17="No",0,IF(INDEX(Constants!I:I,MATCH(($I17/12),Constants!$A:$A,0))=0,0,INDEX(Constants!I:I,MATCH(($I17/12),Constants!$A:$A,0)))),0),"")</f>
        <v>0</v>
      </c>
      <c r="AY17" s="146">
        <f>IFERROR(_xlfn.IFNA(IF($BA17="No",0,IF(INDEX(Constants!J:J,MATCH(($I17/12),Constants!$A:$A,0))=0,0,INDEX(Constants!J:J,MATCH(($I17/12),Constants!$A:$A,0)))),0),"")</f>
        <v>0</v>
      </c>
      <c r="AZ17" s="146">
        <f>IFERROR(_xlfn.IFNA(IF($BA17="No",0,IF(INDEX(Constants!K:K,MATCH(($I17/12),Constants!$A:$A,0))=0,0,INDEX(Constants!K:K,MATCH(($I17/12),Constants!$A:$A,0)))),0),"")</f>
        <v>0</v>
      </c>
      <c r="BA17" s="147" t="str">
        <f>_xlfn.IFNA(INDEX(Producer!$L:$L,MATCH($D17,Producer!$A:$A,0)),"")</f>
        <v>Yes</v>
      </c>
      <c r="BB17" s="146" t="str">
        <f>IFERROR(IF(AQ17=0,"",IF(($I17/12)=15,_xlfn.CONCAT(Constants!$N$7,TEXT(DATE(YEAR(H17)-(($I17/12)-3),MONTH(H17),DAY(H17)),"dd/mm/yyyy"),", ",Constants!$P$7,TEXT(DATE(YEAR(H17)-(($I17/12)-8),MONTH(H17),DAY(H17)),"dd/mm/yyyy"),", ",Constants!$T$7,TEXT(DATE(YEAR(H17)-(($I17/12)-11),MONTH(H17),DAY(H17)),"dd/mm/yyyy"),", ",Constants!$V$7,TEXT(DATE(YEAR(H17)-(($I17/12)-13),MONTH(H17),DAY(H17)),"dd/mm/yyyy"),", ",Constants!$W$7,TEXT($H17,"dd/mm/yyyy")),IF(($I17/12)=10,_xlfn.CONCAT(Constants!$N$6,TEXT(DATE(YEAR(H17)-(($I17/12)-2),MONTH(H17),DAY(H17)),"dd/mm/yyyy"),", ",Constants!$P$6,TEXT(DATE(YEAR(H17)-(($I17/12)-6),MONTH(H17),DAY(H17)),"dd/mm/yyyy"),", ",Constants!$T$6,TEXT(DATE(YEAR(H17)-(($I17/12)-8),MONTH(H17),DAY(H17)),"dd/mm/yyyy"),", ",Constants!$V$6,TEXT(DATE(YEAR(H17)-(($I17/12)-9),MONTH(H17),DAY(H17)),"dd/mm/yyyy"),", ",Constants!$W$6,TEXT($H17,"dd/mm/yyyy")),IF(($I17/12)=5,_xlfn.CONCAT(Constants!$N$5,TEXT(DATE(YEAR(H17)-(($I17/12)-1),MONTH(H17),DAY(H17)),"dd/mm/yyyy"),", ",Constants!$O$5,TEXT(DATE(YEAR(H17)-(($I17/12)-2),MONTH(H17),DAY(H17)),"dd/mm/yyyy"),", ",Constants!$P$5,TEXT(DATE(YEAR(H17)-(($I17/12)-3),MONTH(H17),DAY(H17)),"dd/mm/yyyy"),", ",Constants!$Q$5,TEXT(DATE(YEAR(H17)-(($I17/12)-4),MONTH(H17),DAY(H17)),"dd/mm/yyyy"),", ",Constants!$R$5,TEXT($H17,"dd/mm/yyyy")),IF(($I17/12)=3,_xlfn.CONCAT(Constants!$N$4,TEXT(DATE(YEAR(H17)-(($I17/12)-1),MONTH(H17),DAY(H17)),"dd/mm/yyyy"),", ",Constants!$O$4,TEXT(DATE(YEAR(H17)-(($I17/12)-2),MONTH(H17),DAY(H17)),"dd/mm/yyyy"),", ",Constants!$P$4,TEXT($H17,"dd/mm/yyyy")),IF(($I17/12)=2,_xlfn.CONCAT(Constants!$N$3,TEXT(DATE(YEAR(H17)-(($I17/12)-1),MONTH(H17),DAY(H17)),"dd/mm/yyyy"),", ",Constants!$O$3,TEXT($H17,"dd/mm/yyyy")),IF(($I17/12)=1,_xlfn.CONCAT(Constants!$N$2,TEXT($H17,"dd/mm/yyyy")),"Update Constants"))))))),"")</f>
        <v>5% to 31/01/2026, 5% to 31/01/2027, 4% to 31/01/2028, 3% to 31/01/2029, 2% to 31/01/2030</v>
      </c>
      <c r="BC17" s="147">
        <f>_xlfn.IFNA(VALUE(INDEX(Producer!$K:$K,MATCH($D17,Producer!$A:$A,0))),"")</f>
        <v>0</v>
      </c>
      <c r="BD17" s="147" t="str">
        <f>_xlfn.IFNA(INDEX(Producer!$I:$I,MATCH($D17,Producer!$A:$A,0)),"")</f>
        <v>No</v>
      </c>
      <c r="BE17" s="147" t="str">
        <f t="shared" si="8"/>
        <v>Yes</v>
      </c>
      <c r="BF17" s="147"/>
      <c r="BG17" s="147"/>
      <c r="BH17" s="151">
        <f>_xlfn.IFNA(INDEX(Constants!$B:$B,MATCH(BC17,Constants!A:A,0)),"")</f>
        <v>0</v>
      </c>
      <c r="BI17" s="147">
        <f>IF(LEFT(B17,15)="Limited Company",Constants!$D$16,IFERROR(_xlfn.IFNA(IF(C17="Residential",IF(BK17&lt;75,INDEX(Constants!$B:$B,MATCH(VALUE(60)/100,Constants!$A:$A,0)),INDEX(Constants!$B:$B,MATCH(VALUE(BK17)/100,Constants!$A:$A,0))),IF(BK17&lt;60,INDEX(Constants!$C:$C,MATCH(VALUE(60)/100,Constants!$A:$A,0)),INDEX(Constants!$C:$C,MATCH(VALUE(BK17)/100,Constants!$A:$A,0)))),""),""))</f>
        <v>2000000</v>
      </c>
      <c r="BJ17" s="147">
        <f t="shared" si="9"/>
        <v>0</v>
      </c>
      <c r="BK17" s="147">
        <f>_xlfn.IFNA(VALUE(INDEX(Producer!$E:$E,MATCH($D17,Producer!$A:$A,0)))*100,"")</f>
        <v>95</v>
      </c>
      <c r="BL17" s="146" t="str">
        <f>_xlfn.IFNA(IF(IFERROR(FIND("Part &amp; Part",B17),-10)&gt;0,"PP",IF(OR(LEFT(B17,25)="Residential Interest Only",INDEX(Producer!$P:$P,MATCH($D17,Producer!$A:$A,0))="IO",INDEX(Producer!$P:$P,MATCH($D17,Producer!$A:$A,0))="Retirement Interest Only"),"IO",IF($C17="BuyToLet","CI, IO","CI"))),"")</f>
        <v>CI</v>
      </c>
      <c r="BM17" s="152" t="str">
        <f>_xlfn.IFNA(IF(BL17="IO",100%,IF(AND(INDEX(Producer!$P:$P,MATCH($D17,Producer!$A:$A,0))="Residential Interest Only Part &amp; Part",BK17=75),80%,IF(C17="BuyToLet",100%,IF(BL17="Interest Only",100%,IF(AND(INDEX(Producer!$P:$P,MATCH($D17,Producer!$A:$A,0))="Residential Interest Only Part &amp; Part",BK17=60),100%,""))))),"")</f>
        <v/>
      </c>
      <c r="BN17" s="218" t="str">
        <f>_xlfn.IFNA(IF(VALUE(INDEX(Producer!$H:$H,MATCH($D17,Producer!$A:$A,0)))=0,"",VALUE(INDEX(Producer!$H:$H,MATCH($D17,Producer!$A:$A,0)))),"")</f>
        <v/>
      </c>
      <c r="BO17" s="153"/>
      <c r="BP17" s="153"/>
      <c r="BQ17" s="219">
        <f t="shared" si="10"/>
        <v>35</v>
      </c>
      <c r="BR17" s="146"/>
      <c r="BS17" s="146"/>
      <c r="BT17" s="146"/>
      <c r="BU17" s="146"/>
      <c r="BV17" s="219">
        <f t="shared" si="11"/>
        <v>199</v>
      </c>
      <c r="BW17" s="146"/>
      <c r="BX17" s="146"/>
      <c r="BY17" s="146" t="str">
        <f t="shared" si="12"/>
        <v>No</v>
      </c>
      <c r="BZ17" s="146" t="str">
        <f t="shared" si="13"/>
        <v>No</v>
      </c>
      <c r="CA17" s="146" t="str">
        <f t="shared" si="14"/>
        <v>No</v>
      </c>
      <c r="CB17" s="146" t="str">
        <f t="shared" si="15"/>
        <v>No</v>
      </c>
      <c r="CC17" s="146" t="str">
        <f>_xlfn.IFNA(IF(INDEX(Producer!$P:$P,MATCH($D17,Producer!$A:$A,0))="Help to Buy","Only available","No"),"")</f>
        <v>No</v>
      </c>
      <c r="CD17" s="146" t="str">
        <f>_xlfn.IFNA(IF(INDEX(Producer!$P:$P,MATCH($D17,Producer!$A:$A,0))="Shared Ownership","Only available","No"),"")</f>
        <v>No</v>
      </c>
      <c r="CE17" s="146" t="str">
        <f>_xlfn.IFNA(IF(INDEX(Producer!$P:$P,MATCH($D17,Producer!$A:$A,0))="Right to Buy","Only available","No"),"")</f>
        <v>No</v>
      </c>
      <c r="CF17" s="146" t="str">
        <f t="shared" si="16"/>
        <v>No</v>
      </c>
      <c r="CG17" s="146" t="str">
        <f>_xlfn.IFNA(IF(INDEX(Producer!$P:$P,MATCH($D17,Producer!$A:$A,0))="Retirement Interest Only","Only available","No"),"")</f>
        <v>No</v>
      </c>
      <c r="CH17" s="146" t="str">
        <f t="shared" si="17"/>
        <v>No</v>
      </c>
      <c r="CI17" s="146" t="str">
        <f>_xlfn.IFNA(IF(INDEX(Producer!$P:$P,MATCH($D17,Producer!$A:$A,0))="Intermediary Holiday Let","Only available","No"),"")</f>
        <v>No</v>
      </c>
      <c r="CJ17" s="146" t="str">
        <f t="shared" si="18"/>
        <v>No</v>
      </c>
      <c r="CK17" s="146" t="str">
        <f>_xlfn.IFNA(IF(OR(INDEX(Producer!$P:$P,MATCH($D17,Producer!$A:$A,0))="Intermediary Small HMO",INDEX(Producer!$P:$P,MATCH($D17,Producer!$A:$A,0))="Intermediary Large HMO"),"Only available","No"),"")</f>
        <v>No</v>
      </c>
      <c r="CL17" s="146" t="str">
        <f t="shared" si="19"/>
        <v>No</v>
      </c>
      <c r="CM17" s="146" t="str">
        <f t="shared" si="20"/>
        <v>No</v>
      </c>
      <c r="CN17" s="146" t="str">
        <f t="shared" si="21"/>
        <v>No</v>
      </c>
      <c r="CO17" s="146" t="str">
        <f t="shared" si="22"/>
        <v>No</v>
      </c>
      <c r="CP17" s="146" t="str">
        <f t="shared" si="23"/>
        <v>No</v>
      </c>
      <c r="CQ17" s="146" t="str">
        <f t="shared" si="24"/>
        <v>No</v>
      </c>
      <c r="CR17" s="146" t="str">
        <f t="shared" si="25"/>
        <v>Also available</v>
      </c>
      <c r="CS17" s="146" t="str">
        <f t="shared" si="26"/>
        <v>Only available</v>
      </c>
      <c r="CT17" s="146" t="str">
        <f t="shared" si="27"/>
        <v>No</v>
      </c>
      <c r="CU17" s="146"/>
    </row>
    <row r="18" spans="1:99" ht="16.399999999999999" customHeight="1" x14ac:dyDescent="0.35">
      <c r="A18" s="145" t="str">
        <f t="shared" si="0"/>
        <v>Leeds Building Society</v>
      </c>
      <c r="B18" s="145" t="str">
        <f>_xlfn.IFNA(_xlfn.CONCAT(INDEX(Producer!$P:$P,MATCH($D18,Producer!$A:$A,0))," ",IF(INDEX(Producer!$N:$N,MATCH($D18,Producer!$A:$A,0))="Yes","Green ",""),IF(AND(INDEX(Producer!$L:$L,MATCH($D18,Producer!$A:$A,0))="No",INDEX(Producer!$C:$C,MATCH($D18,Producer!$A:$A,0))="Fixed"),"Flexit ",""),INDEX(Producer!$B:$B,MATCH($D18,Producer!$A:$A,0))," Year ",INDEX(Producer!$C:$C,MATCH($D18,Producer!$A:$A,0))," ",VALUE(INDEX(Producer!$E:$E,MATCH($D18,Producer!$A:$A,0)))*100,"% LTV",IF(INDEX(Producer!$N:$N,MATCH($D18,Producer!$A:$A,0))="Yes"," (EPC A-C)","")," - ",IF(INDEX(Producer!$D:$D,MATCH($D18,Producer!$A:$A,0))="DLY","Daily","Annual")),"")</f>
        <v>Second Homes 2 Year Fixed 65% LTV - Daily</v>
      </c>
      <c r="C18" s="146" t="str">
        <f>_xlfn.IFNA(INDEX(Producer!$Q:$Q,MATCH($D18,Producer!$A:$A,0)),"")</f>
        <v>Residential</v>
      </c>
      <c r="D18" s="146">
        <f>IFERROR(VALUE(MID(Producer!$R$2,IF($D17="",1/0,FIND(_xlfn.CONCAT($D16,$D17),Producer!$R$2)+10),5)),"")</f>
        <v>54272</v>
      </c>
      <c r="E18" s="146" t="str">
        <f t="shared" si="1"/>
        <v>Stepped Fixed</v>
      </c>
      <c r="F18" s="146"/>
      <c r="G18" s="147">
        <f>_xlfn.IFNA(VALUE(INDEX(Producer!$F:$F,MATCH($D18,Producer!$A:$A,0)))*100,"")</f>
        <v>5.84</v>
      </c>
      <c r="H18" s="216">
        <f>_xlfn.IFNA(IFERROR(DATEVALUE(INDEX(Producer!$M:$M,MATCH($D18,Producer!$A:$A,0))),(INDEX(Producer!$M:$M,MATCH($D18,Producer!$A:$A,0)))),"")</f>
        <v>46418</v>
      </c>
      <c r="I18" s="217">
        <f>_xlfn.IFNA(VALUE(INDEX(Producer!$B:$B,MATCH($D18,Producer!$A:$A,0)))*12,"")</f>
        <v>24</v>
      </c>
      <c r="J18" s="146">
        <f>_xlfn.IFNA(IF(C18="Residential",IF(VALUE(INDEX(Producer!$B:$B,MATCH($D18,Producer!$A:$A,0)))&lt;5,Constants!$C$10,""),IF(VALUE(INDEX(Producer!$B:$B,MATCH($D18,Producer!$A:$A,0)))&lt;5,Constants!$C$11,"")),"")</f>
        <v>7.49</v>
      </c>
      <c r="K18" s="216">
        <f>_xlfn.IFNA(IF(($I18)&lt;60,DATE(YEAR(H18)+(5-VALUE(INDEX(Producer!$B:$B,MATCH($D18,Producer!$A:$A,0)))),MONTH(H18),DAY(H18)),""),"")</f>
        <v>47514</v>
      </c>
      <c r="L18" s="153">
        <f t="shared" si="2"/>
        <v>36</v>
      </c>
      <c r="M18" s="146"/>
      <c r="N18" s="148"/>
      <c r="O18" s="148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>
        <f>IF(D18="","",IF(C18="Residential",Constants!$B$10,Constants!$B$11))</f>
        <v>8.24</v>
      </c>
      <c r="AL18" s="146" t="str">
        <f t="shared" si="3"/>
        <v>SVR</v>
      </c>
      <c r="AM18" s="206" t="str">
        <f t="shared" si="4"/>
        <v/>
      </c>
      <c r="AN18" s="146">
        <f t="shared" si="5"/>
        <v>10</v>
      </c>
      <c r="AO18" s="149" t="str">
        <f t="shared" si="6"/>
        <v>Remortgage</v>
      </c>
      <c r="AP18" s="150" t="str">
        <f t="shared" si="7"/>
        <v>ProductTransfer</v>
      </c>
      <c r="AQ18" s="146">
        <f>IFERROR(_xlfn.IFNA(IF($BA18="No",0,IF(INDEX(Constants!B:B,MATCH(($I18/12),Constants!$A:$A,0))=0,0,INDEX(Constants!B:B,MATCH(($I18/12),Constants!$A:$A,0)))),0),"")</f>
        <v>2.5</v>
      </c>
      <c r="AR18" s="146">
        <f>IFERROR(_xlfn.IFNA(IF($BA18="No",0,IF(INDEX(Constants!C:C,MATCH(($I18/12),Constants!$A:$A,0))=0,0,INDEX(Constants!C:C,MATCH(($I18/12),Constants!$A:$A,0)))),0),"")</f>
        <v>1.5</v>
      </c>
      <c r="AS18" s="146">
        <f>IFERROR(_xlfn.IFNA(IF($BA18="No",0,IF(INDEX(Constants!D:D,MATCH(($I18/12),Constants!$A:$A,0))=0,0,INDEX(Constants!D:D,MATCH(($I18/12),Constants!$A:$A,0)))),0),"")</f>
        <v>0</v>
      </c>
      <c r="AT18" s="146">
        <f>IFERROR(_xlfn.IFNA(IF($BA18="No",0,IF(INDEX(Constants!E:E,MATCH(($I18/12),Constants!$A:$A,0))=0,0,INDEX(Constants!E:E,MATCH(($I18/12),Constants!$A:$A,0)))),0),"")</f>
        <v>0</v>
      </c>
      <c r="AU18" s="146">
        <f>IFERROR(_xlfn.IFNA(IF($BA18="No",0,IF(INDEX(Constants!F:F,MATCH(($I18/12),Constants!$A:$A,0))=0,0,INDEX(Constants!F:F,MATCH(($I18/12),Constants!$A:$A,0)))),0),"")</f>
        <v>0</v>
      </c>
      <c r="AV18" s="146">
        <f>IFERROR(_xlfn.IFNA(IF($BA18="No",0,IF(INDEX(Constants!G:G,MATCH(($I18/12),Constants!$A:$A,0))=0,0,INDEX(Constants!G:G,MATCH(($I18/12),Constants!$A:$A,0)))),0),"")</f>
        <v>0</v>
      </c>
      <c r="AW18" s="146">
        <f>IFERROR(_xlfn.IFNA(IF($BA18="No",0,IF(INDEX(Constants!H:H,MATCH(($I18/12),Constants!$A:$A,0))=0,0,INDEX(Constants!H:H,MATCH(($I18/12),Constants!$A:$A,0)))),0),"")</f>
        <v>0</v>
      </c>
      <c r="AX18" s="146">
        <f>IFERROR(_xlfn.IFNA(IF($BA18="No",0,IF(INDEX(Constants!I:I,MATCH(($I18/12),Constants!$A:$A,0))=0,0,INDEX(Constants!I:I,MATCH(($I18/12),Constants!$A:$A,0)))),0),"")</f>
        <v>0</v>
      </c>
      <c r="AY18" s="146">
        <f>IFERROR(_xlfn.IFNA(IF($BA18="No",0,IF(INDEX(Constants!J:J,MATCH(($I18/12),Constants!$A:$A,0))=0,0,INDEX(Constants!J:J,MATCH(($I18/12),Constants!$A:$A,0)))),0),"")</f>
        <v>0</v>
      </c>
      <c r="AZ18" s="146">
        <f>IFERROR(_xlfn.IFNA(IF($BA18="No",0,IF(INDEX(Constants!K:K,MATCH(($I18/12),Constants!$A:$A,0))=0,0,INDEX(Constants!K:K,MATCH(($I18/12),Constants!$A:$A,0)))),0),"")</f>
        <v>0</v>
      </c>
      <c r="BA18" s="147" t="str">
        <f>_xlfn.IFNA(INDEX(Producer!$L:$L,MATCH($D18,Producer!$A:$A,0)),"")</f>
        <v>Yes</v>
      </c>
      <c r="BB18" s="146" t="str">
        <f>IFERROR(IF(AQ18=0,"",IF(($I18/12)=15,_xlfn.CONCAT(Constants!$N$7,TEXT(DATE(YEAR(H18)-(($I18/12)-3),MONTH(H18),DAY(H18)),"dd/mm/yyyy"),", ",Constants!$P$7,TEXT(DATE(YEAR(H18)-(($I18/12)-8),MONTH(H18),DAY(H18)),"dd/mm/yyyy"),", ",Constants!$T$7,TEXT(DATE(YEAR(H18)-(($I18/12)-11),MONTH(H18),DAY(H18)),"dd/mm/yyyy"),", ",Constants!$V$7,TEXT(DATE(YEAR(H18)-(($I18/12)-13),MONTH(H18),DAY(H18)),"dd/mm/yyyy"),", ",Constants!$W$7,TEXT($H18,"dd/mm/yyyy")),IF(($I18/12)=10,_xlfn.CONCAT(Constants!$N$6,TEXT(DATE(YEAR(H18)-(($I18/12)-2),MONTH(H18),DAY(H18)),"dd/mm/yyyy"),", ",Constants!$P$6,TEXT(DATE(YEAR(H18)-(($I18/12)-6),MONTH(H18),DAY(H18)),"dd/mm/yyyy"),", ",Constants!$T$6,TEXT(DATE(YEAR(H18)-(($I18/12)-8),MONTH(H18),DAY(H18)),"dd/mm/yyyy"),", ",Constants!$V$6,TEXT(DATE(YEAR(H18)-(($I18/12)-9),MONTH(H18),DAY(H18)),"dd/mm/yyyy"),", ",Constants!$W$6,TEXT($H18,"dd/mm/yyyy")),IF(($I18/12)=5,_xlfn.CONCAT(Constants!$N$5,TEXT(DATE(YEAR(H18)-(($I18/12)-1),MONTH(H18),DAY(H18)),"dd/mm/yyyy"),", ",Constants!$O$5,TEXT(DATE(YEAR(H18)-(($I18/12)-2),MONTH(H18),DAY(H18)),"dd/mm/yyyy"),", ",Constants!$P$5,TEXT(DATE(YEAR(H18)-(($I18/12)-3),MONTH(H18),DAY(H18)),"dd/mm/yyyy"),", ",Constants!$Q$5,TEXT(DATE(YEAR(H18)-(($I18/12)-4),MONTH(H18),DAY(H18)),"dd/mm/yyyy"),", ",Constants!$R$5,TEXT($H18,"dd/mm/yyyy")),IF(($I18/12)=3,_xlfn.CONCAT(Constants!$N$4,TEXT(DATE(YEAR(H18)-(($I18/12)-1),MONTH(H18),DAY(H18)),"dd/mm/yyyy"),", ",Constants!$O$4,TEXT(DATE(YEAR(H18)-(($I18/12)-2),MONTH(H18),DAY(H18)),"dd/mm/yyyy"),", ",Constants!$P$4,TEXT($H18,"dd/mm/yyyy")),IF(($I18/12)=2,_xlfn.CONCAT(Constants!$N$3,TEXT(DATE(YEAR(H18)-(($I18/12)-1),MONTH(H18),DAY(H18)),"dd/mm/yyyy"),", ",Constants!$O$3,TEXT($H18,"dd/mm/yyyy")),IF(($I18/12)=1,_xlfn.CONCAT(Constants!$N$2,TEXT($H18,"dd/mm/yyyy")),"Update Constants"))))))),"")</f>
        <v>2.5% to 31/01/2026, 1.5% to 31/01/2027</v>
      </c>
      <c r="BC18" s="147">
        <f>_xlfn.IFNA(VALUE(INDEX(Producer!$K:$K,MATCH($D18,Producer!$A:$A,0))),"")</f>
        <v>0</v>
      </c>
      <c r="BD18" s="147" t="str">
        <f>_xlfn.IFNA(INDEX(Producer!$I:$I,MATCH($D18,Producer!$A:$A,0)),"")</f>
        <v>No</v>
      </c>
      <c r="BE18" s="147" t="str">
        <f t="shared" si="8"/>
        <v>Yes</v>
      </c>
      <c r="BF18" s="147"/>
      <c r="BG18" s="147"/>
      <c r="BH18" s="151">
        <f>_xlfn.IFNA(INDEX(Constants!$B:$B,MATCH(BC18,Constants!A:A,0)),"")</f>
        <v>0</v>
      </c>
      <c r="BI18" s="147">
        <f>IF(LEFT(B18,15)="Limited Company",Constants!$D$16,IFERROR(_xlfn.IFNA(IF(C18="Residential",IF(BK18&lt;75,INDEX(Constants!$B:$B,MATCH(VALUE(60)/100,Constants!$A:$A,0)),INDEX(Constants!$B:$B,MATCH(VALUE(BK18)/100,Constants!$A:$A,0))),IF(BK18&lt;60,INDEX(Constants!$C:$C,MATCH(VALUE(60)/100,Constants!$A:$A,0)),INDEX(Constants!$C:$C,MATCH(VALUE(BK18)/100,Constants!$A:$A,0)))),""),""))</f>
        <v>2000000</v>
      </c>
      <c r="BJ18" s="147">
        <f t="shared" si="9"/>
        <v>0</v>
      </c>
      <c r="BK18" s="147">
        <f>_xlfn.IFNA(VALUE(INDEX(Producer!$E:$E,MATCH($D18,Producer!$A:$A,0)))*100,"")</f>
        <v>65</v>
      </c>
      <c r="BL18" s="146" t="str">
        <f>_xlfn.IFNA(IF(IFERROR(FIND("Part &amp; Part",B18),-10)&gt;0,"PP",IF(OR(LEFT(B18,25)="Residential Interest Only",INDEX(Producer!$P:$P,MATCH($D18,Producer!$A:$A,0))="IO",INDEX(Producer!$P:$P,MATCH($D18,Producer!$A:$A,0))="Retirement Interest Only"),"IO",IF($C18="BuyToLet","CI, IO","CI"))),"")</f>
        <v>CI</v>
      </c>
      <c r="BM18" s="152" t="str">
        <f>_xlfn.IFNA(IF(BL18="IO",100%,IF(AND(INDEX(Producer!$P:$P,MATCH($D18,Producer!$A:$A,0))="Residential Interest Only Part &amp; Part",BK18=75),80%,IF(C18="BuyToLet",100%,IF(BL18="Interest Only",100%,IF(AND(INDEX(Producer!$P:$P,MATCH($D18,Producer!$A:$A,0))="Residential Interest Only Part &amp; Part",BK18=60),100%,""))))),"")</f>
        <v/>
      </c>
      <c r="BN18" s="218" t="str">
        <f>_xlfn.IFNA(IF(VALUE(INDEX(Producer!$H:$H,MATCH($D18,Producer!$A:$A,0)))=0,"",VALUE(INDEX(Producer!$H:$H,MATCH($D18,Producer!$A:$A,0)))),"")</f>
        <v/>
      </c>
      <c r="BO18" s="153"/>
      <c r="BP18" s="153"/>
      <c r="BQ18" s="219">
        <f t="shared" si="10"/>
        <v>35</v>
      </c>
      <c r="BR18" s="146"/>
      <c r="BS18" s="146"/>
      <c r="BT18" s="146"/>
      <c r="BU18" s="146"/>
      <c r="BV18" s="219">
        <f t="shared" si="11"/>
        <v>199</v>
      </c>
      <c r="BW18" s="146"/>
      <c r="BX18" s="146"/>
      <c r="BY18" s="146" t="str">
        <f t="shared" si="12"/>
        <v>No</v>
      </c>
      <c r="BZ18" s="146" t="str">
        <f t="shared" si="13"/>
        <v>No</v>
      </c>
      <c r="CA18" s="146" t="str">
        <f t="shared" si="14"/>
        <v>Only Available</v>
      </c>
      <c r="CB18" s="146" t="str">
        <f t="shared" si="15"/>
        <v>No</v>
      </c>
      <c r="CC18" s="146" t="str">
        <f>_xlfn.IFNA(IF(INDEX(Producer!$P:$P,MATCH($D18,Producer!$A:$A,0))="Help to Buy","Only available","No"),"")</f>
        <v>No</v>
      </c>
      <c r="CD18" s="146" t="str">
        <f>_xlfn.IFNA(IF(INDEX(Producer!$P:$P,MATCH($D18,Producer!$A:$A,0))="Shared Ownership","Only available","No"),"")</f>
        <v>No</v>
      </c>
      <c r="CE18" s="146" t="str">
        <f>_xlfn.IFNA(IF(INDEX(Producer!$P:$P,MATCH($D18,Producer!$A:$A,0))="Right to Buy","Only available","No"),"")</f>
        <v>No</v>
      </c>
      <c r="CF18" s="146" t="str">
        <f t="shared" si="16"/>
        <v>No</v>
      </c>
      <c r="CG18" s="146" t="str">
        <f>_xlfn.IFNA(IF(INDEX(Producer!$P:$P,MATCH($D18,Producer!$A:$A,0))="Retirement Interest Only","Only available","No"),"")</f>
        <v>No</v>
      </c>
      <c r="CH18" s="146" t="str">
        <f t="shared" si="17"/>
        <v>No</v>
      </c>
      <c r="CI18" s="146" t="str">
        <f>_xlfn.IFNA(IF(INDEX(Producer!$P:$P,MATCH($D18,Producer!$A:$A,0))="Intermediary Holiday Let","Only available","No"),"")</f>
        <v>No</v>
      </c>
      <c r="CJ18" s="146" t="str">
        <f t="shared" si="18"/>
        <v>No</v>
      </c>
      <c r="CK18" s="146" t="str">
        <f>_xlfn.IFNA(IF(OR(INDEX(Producer!$P:$P,MATCH($D18,Producer!$A:$A,0))="Intermediary Small HMO",INDEX(Producer!$P:$P,MATCH($D18,Producer!$A:$A,0))="Intermediary Large HMO"),"Only available","No"),"")</f>
        <v>No</v>
      </c>
      <c r="CL18" s="146" t="str">
        <f t="shared" si="19"/>
        <v>No</v>
      </c>
      <c r="CM18" s="146" t="str">
        <f t="shared" si="20"/>
        <v>No</v>
      </c>
      <c r="CN18" s="146" t="str">
        <f t="shared" si="21"/>
        <v>No</v>
      </c>
      <c r="CO18" s="146" t="str">
        <f t="shared" si="22"/>
        <v>Also available</v>
      </c>
      <c r="CP18" s="146" t="str">
        <f t="shared" si="23"/>
        <v>No</v>
      </c>
      <c r="CQ18" s="146" t="str">
        <f t="shared" si="24"/>
        <v>No</v>
      </c>
      <c r="CR18" s="146" t="str">
        <f t="shared" si="25"/>
        <v>Also available</v>
      </c>
      <c r="CS18" s="146" t="str">
        <f t="shared" si="26"/>
        <v>Only available</v>
      </c>
      <c r="CT18" s="146" t="str">
        <f t="shared" si="27"/>
        <v>No</v>
      </c>
      <c r="CU18" s="146"/>
    </row>
    <row r="19" spans="1:99" ht="16.399999999999999" customHeight="1" x14ac:dyDescent="0.35">
      <c r="A19" s="145" t="str">
        <f t="shared" si="0"/>
        <v>Leeds Building Society</v>
      </c>
      <c r="B19" s="145" t="str">
        <f>_xlfn.IFNA(_xlfn.CONCAT(INDEX(Producer!$P:$P,MATCH($D19,Producer!$A:$A,0))," ",IF(INDEX(Producer!$N:$N,MATCH($D19,Producer!$A:$A,0))="Yes","Green ",""),IF(AND(INDEX(Producer!$L:$L,MATCH($D19,Producer!$A:$A,0))="No",INDEX(Producer!$C:$C,MATCH($D19,Producer!$A:$A,0))="Fixed"),"Flexit ",""),INDEX(Producer!$B:$B,MATCH($D19,Producer!$A:$A,0))," Year ",INDEX(Producer!$C:$C,MATCH($D19,Producer!$A:$A,0))," ",VALUE(INDEX(Producer!$E:$E,MATCH($D19,Producer!$A:$A,0)))*100,"% LTV",IF(INDEX(Producer!$N:$N,MATCH($D19,Producer!$A:$A,0))="Yes"," (EPC A-C)","")," - ",IF(INDEX(Producer!$D:$D,MATCH($D19,Producer!$A:$A,0))="DLY","Daily","Annual")),"")</f>
        <v>Second Homes 2 Year Fixed 85% LTV - Daily</v>
      </c>
      <c r="C19" s="146" t="str">
        <f>_xlfn.IFNA(INDEX(Producer!$Q:$Q,MATCH($D19,Producer!$A:$A,0)),"")</f>
        <v>Residential</v>
      </c>
      <c r="D19" s="146">
        <f>IFERROR(VALUE(MID(Producer!$R$2,IF($D18="",1/0,FIND(_xlfn.CONCAT($D17,$D18),Producer!$R$2)+10),5)),"")</f>
        <v>54275</v>
      </c>
      <c r="E19" s="146" t="str">
        <f t="shared" si="1"/>
        <v>Stepped Fixed</v>
      </c>
      <c r="F19" s="146"/>
      <c r="G19" s="147">
        <f>_xlfn.IFNA(VALUE(INDEX(Producer!$F:$F,MATCH($D19,Producer!$A:$A,0)))*100,"")</f>
        <v>6.04</v>
      </c>
      <c r="H19" s="216">
        <f>_xlfn.IFNA(IFERROR(DATEVALUE(INDEX(Producer!$M:$M,MATCH($D19,Producer!$A:$A,0))),(INDEX(Producer!$M:$M,MATCH($D19,Producer!$A:$A,0)))),"")</f>
        <v>46418</v>
      </c>
      <c r="I19" s="217">
        <f>_xlfn.IFNA(VALUE(INDEX(Producer!$B:$B,MATCH($D19,Producer!$A:$A,0)))*12,"")</f>
        <v>24</v>
      </c>
      <c r="J19" s="146">
        <f>_xlfn.IFNA(IF(C19="Residential",IF(VALUE(INDEX(Producer!$B:$B,MATCH($D19,Producer!$A:$A,0)))&lt;5,Constants!$C$10,""),IF(VALUE(INDEX(Producer!$B:$B,MATCH($D19,Producer!$A:$A,0)))&lt;5,Constants!$C$11,"")),"")</f>
        <v>7.49</v>
      </c>
      <c r="K19" s="216">
        <f>_xlfn.IFNA(IF(($I19)&lt;60,DATE(YEAR(H19)+(5-VALUE(INDEX(Producer!$B:$B,MATCH($D19,Producer!$A:$A,0)))),MONTH(H19),DAY(H19)),""),"")</f>
        <v>47514</v>
      </c>
      <c r="L19" s="153">
        <f t="shared" si="2"/>
        <v>36</v>
      </c>
      <c r="M19" s="146"/>
      <c r="N19" s="148"/>
      <c r="O19" s="148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>
        <f>IF(D19="","",IF(C19="Residential",Constants!$B$10,Constants!$B$11))</f>
        <v>8.24</v>
      </c>
      <c r="AL19" s="146" t="str">
        <f t="shared" si="3"/>
        <v>SVR</v>
      </c>
      <c r="AM19" s="206" t="str">
        <f t="shared" si="4"/>
        <v/>
      </c>
      <c r="AN19" s="146">
        <f t="shared" si="5"/>
        <v>10</v>
      </c>
      <c r="AO19" s="149" t="str">
        <f t="shared" si="6"/>
        <v>Remortgage</v>
      </c>
      <c r="AP19" s="150" t="str">
        <f t="shared" si="7"/>
        <v>ProductTransfer</v>
      </c>
      <c r="AQ19" s="146">
        <f>IFERROR(_xlfn.IFNA(IF($BA19="No",0,IF(INDEX(Constants!B:B,MATCH(($I19/12),Constants!$A:$A,0))=0,0,INDEX(Constants!B:B,MATCH(($I19/12),Constants!$A:$A,0)))),0),"")</f>
        <v>2.5</v>
      </c>
      <c r="AR19" s="146">
        <f>IFERROR(_xlfn.IFNA(IF($BA19="No",0,IF(INDEX(Constants!C:C,MATCH(($I19/12),Constants!$A:$A,0))=0,0,INDEX(Constants!C:C,MATCH(($I19/12),Constants!$A:$A,0)))),0),"")</f>
        <v>1.5</v>
      </c>
      <c r="AS19" s="146">
        <f>IFERROR(_xlfn.IFNA(IF($BA19="No",0,IF(INDEX(Constants!D:D,MATCH(($I19/12),Constants!$A:$A,0))=0,0,INDEX(Constants!D:D,MATCH(($I19/12),Constants!$A:$A,0)))),0),"")</f>
        <v>0</v>
      </c>
      <c r="AT19" s="146">
        <f>IFERROR(_xlfn.IFNA(IF($BA19="No",0,IF(INDEX(Constants!E:E,MATCH(($I19/12),Constants!$A:$A,0))=0,0,INDEX(Constants!E:E,MATCH(($I19/12),Constants!$A:$A,0)))),0),"")</f>
        <v>0</v>
      </c>
      <c r="AU19" s="146">
        <f>IFERROR(_xlfn.IFNA(IF($BA19="No",0,IF(INDEX(Constants!F:F,MATCH(($I19/12),Constants!$A:$A,0))=0,0,INDEX(Constants!F:F,MATCH(($I19/12),Constants!$A:$A,0)))),0),"")</f>
        <v>0</v>
      </c>
      <c r="AV19" s="146">
        <f>IFERROR(_xlfn.IFNA(IF($BA19="No",0,IF(INDEX(Constants!G:G,MATCH(($I19/12),Constants!$A:$A,0))=0,0,INDEX(Constants!G:G,MATCH(($I19/12),Constants!$A:$A,0)))),0),"")</f>
        <v>0</v>
      </c>
      <c r="AW19" s="146">
        <f>IFERROR(_xlfn.IFNA(IF($BA19="No",0,IF(INDEX(Constants!H:H,MATCH(($I19/12),Constants!$A:$A,0))=0,0,INDEX(Constants!H:H,MATCH(($I19/12),Constants!$A:$A,0)))),0),"")</f>
        <v>0</v>
      </c>
      <c r="AX19" s="146">
        <f>IFERROR(_xlfn.IFNA(IF($BA19="No",0,IF(INDEX(Constants!I:I,MATCH(($I19/12),Constants!$A:$A,0))=0,0,INDEX(Constants!I:I,MATCH(($I19/12),Constants!$A:$A,0)))),0),"")</f>
        <v>0</v>
      </c>
      <c r="AY19" s="146">
        <f>IFERROR(_xlfn.IFNA(IF($BA19="No",0,IF(INDEX(Constants!J:J,MATCH(($I19/12),Constants!$A:$A,0))=0,0,INDEX(Constants!J:J,MATCH(($I19/12),Constants!$A:$A,0)))),0),"")</f>
        <v>0</v>
      </c>
      <c r="AZ19" s="146">
        <f>IFERROR(_xlfn.IFNA(IF($BA19="No",0,IF(INDEX(Constants!K:K,MATCH(($I19/12),Constants!$A:$A,0))=0,0,INDEX(Constants!K:K,MATCH(($I19/12),Constants!$A:$A,0)))),0),"")</f>
        <v>0</v>
      </c>
      <c r="BA19" s="147" t="str">
        <f>_xlfn.IFNA(INDEX(Producer!$L:$L,MATCH($D19,Producer!$A:$A,0)),"")</f>
        <v>Yes</v>
      </c>
      <c r="BB19" s="146" t="str">
        <f>IFERROR(IF(AQ19=0,"",IF(($I19/12)=15,_xlfn.CONCAT(Constants!$N$7,TEXT(DATE(YEAR(H19)-(($I19/12)-3),MONTH(H19),DAY(H19)),"dd/mm/yyyy"),", ",Constants!$P$7,TEXT(DATE(YEAR(H19)-(($I19/12)-8),MONTH(H19),DAY(H19)),"dd/mm/yyyy"),", ",Constants!$T$7,TEXT(DATE(YEAR(H19)-(($I19/12)-11),MONTH(H19),DAY(H19)),"dd/mm/yyyy"),", ",Constants!$V$7,TEXT(DATE(YEAR(H19)-(($I19/12)-13),MONTH(H19),DAY(H19)),"dd/mm/yyyy"),", ",Constants!$W$7,TEXT($H19,"dd/mm/yyyy")),IF(($I19/12)=10,_xlfn.CONCAT(Constants!$N$6,TEXT(DATE(YEAR(H19)-(($I19/12)-2),MONTH(H19),DAY(H19)),"dd/mm/yyyy"),", ",Constants!$P$6,TEXT(DATE(YEAR(H19)-(($I19/12)-6),MONTH(H19),DAY(H19)),"dd/mm/yyyy"),", ",Constants!$T$6,TEXT(DATE(YEAR(H19)-(($I19/12)-8),MONTH(H19),DAY(H19)),"dd/mm/yyyy"),", ",Constants!$V$6,TEXT(DATE(YEAR(H19)-(($I19/12)-9),MONTH(H19),DAY(H19)),"dd/mm/yyyy"),", ",Constants!$W$6,TEXT($H19,"dd/mm/yyyy")),IF(($I19/12)=5,_xlfn.CONCAT(Constants!$N$5,TEXT(DATE(YEAR(H19)-(($I19/12)-1),MONTH(H19),DAY(H19)),"dd/mm/yyyy"),", ",Constants!$O$5,TEXT(DATE(YEAR(H19)-(($I19/12)-2),MONTH(H19),DAY(H19)),"dd/mm/yyyy"),", ",Constants!$P$5,TEXT(DATE(YEAR(H19)-(($I19/12)-3),MONTH(H19),DAY(H19)),"dd/mm/yyyy"),", ",Constants!$Q$5,TEXT(DATE(YEAR(H19)-(($I19/12)-4),MONTH(H19),DAY(H19)),"dd/mm/yyyy"),", ",Constants!$R$5,TEXT($H19,"dd/mm/yyyy")),IF(($I19/12)=3,_xlfn.CONCAT(Constants!$N$4,TEXT(DATE(YEAR(H19)-(($I19/12)-1),MONTH(H19),DAY(H19)),"dd/mm/yyyy"),", ",Constants!$O$4,TEXT(DATE(YEAR(H19)-(($I19/12)-2),MONTH(H19),DAY(H19)),"dd/mm/yyyy"),", ",Constants!$P$4,TEXT($H19,"dd/mm/yyyy")),IF(($I19/12)=2,_xlfn.CONCAT(Constants!$N$3,TEXT(DATE(YEAR(H19)-(($I19/12)-1),MONTH(H19),DAY(H19)),"dd/mm/yyyy"),", ",Constants!$O$3,TEXT($H19,"dd/mm/yyyy")),IF(($I19/12)=1,_xlfn.CONCAT(Constants!$N$2,TEXT($H19,"dd/mm/yyyy")),"Update Constants"))))))),"")</f>
        <v>2.5% to 31/01/2026, 1.5% to 31/01/2027</v>
      </c>
      <c r="BC19" s="147">
        <f>_xlfn.IFNA(VALUE(INDEX(Producer!$K:$K,MATCH($D19,Producer!$A:$A,0))),"")</f>
        <v>0</v>
      </c>
      <c r="BD19" s="147" t="str">
        <f>_xlfn.IFNA(INDEX(Producer!$I:$I,MATCH($D19,Producer!$A:$A,0)),"")</f>
        <v>No</v>
      </c>
      <c r="BE19" s="147" t="str">
        <f t="shared" si="8"/>
        <v>Yes</v>
      </c>
      <c r="BF19" s="147"/>
      <c r="BG19" s="147"/>
      <c r="BH19" s="151">
        <f>_xlfn.IFNA(INDEX(Constants!$B:$B,MATCH(BC19,Constants!A:A,0)),"")</f>
        <v>0</v>
      </c>
      <c r="BI19" s="147">
        <f>IF(LEFT(B19,15)="Limited Company",Constants!$D$16,IFERROR(_xlfn.IFNA(IF(C19="Residential",IF(BK19&lt;75,INDEX(Constants!$B:$B,MATCH(VALUE(60)/100,Constants!$A:$A,0)),INDEX(Constants!$B:$B,MATCH(VALUE(BK19)/100,Constants!$A:$A,0))),IF(BK19&lt;60,INDEX(Constants!$C:$C,MATCH(VALUE(60)/100,Constants!$A:$A,0)),INDEX(Constants!$C:$C,MATCH(VALUE(BK19)/100,Constants!$A:$A,0)))),""),""))</f>
        <v>2000000</v>
      </c>
      <c r="BJ19" s="147">
        <f t="shared" si="9"/>
        <v>0</v>
      </c>
      <c r="BK19" s="147">
        <f>_xlfn.IFNA(VALUE(INDEX(Producer!$E:$E,MATCH($D19,Producer!$A:$A,0)))*100,"")</f>
        <v>85</v>
      </c>
      <c r="BL19" s="146" t="str">
        <f>_xlfn.IFNA(IF(IFERROR(FIND("Part &amp; Part",B19),-10)&gt;0,"PP",IF(OR(LEFT(B19,25)="Residential Interest Only",INDEX(Producer!$P:$P,MATCH($D19,Producer!$A:$A,0))="IO",INDEX(Producer!$P:$P,MATCH($D19,Producer!$A:$A,0))="Retirement Interest Only"),"IO",IF($C19="BuyToLet","CI, IO","CI"))),"")</f>
        <v>CI</v>
      </c>
      <c r="BM19" s="152" t="str">
        <f>_xlfn.IFNA(IF(BL19="IO",100%,IF(AND(INDEX(Producer!$P:$P,MATCH($D19,Producer!$A:$A,0))="Residential Interest Only Part &amp; Part",BK19=75),80%,IF(C19="BuyToLet",100%,IF(BL19="Interest Only",100%,IF(AND(INDEX(Producer!$P:$P,MATCH($D19,Producer!$A:$A,0))="Residential Interest Only Part &amp; Part",BK19=60),100%,""))))),"")</f>
        <v/>
      </c>
      <c r="BN19" s="218" t="str">
        <f>_xlfn.IFNA(IF(VALUE(INDEX(Producer!$H:$H,MATCH($D19,Producer!$A:$A,0)))=0,"",VALUE(INDEX(Producer!$H:$H,MATCH($D19,Producer!$A:$A,0)))),"")</f>
        <v/>
      </c>
      <c r="BO19" s="153"/>
      <c r="BP19" s="153"/>
      <c r="BQ19" s="219">
        <f t="shared" si="10"/>
        <v>35</v>
      </c>
      <c r="BR19" s="146"/>
      <c r="BS19" s="146"/>
      <c r="BT19" s="146"/>
      <c r="BU19" s="146"/>
      <c r="BV19" s="219">
        <f t="shared" si="11"/>
        <v>199</v>
      </c>
      <c r="BW19" s="146"/>
      <c r="BX19" s="146"/>
      <c r="BY19" s="146" t="str">
        <f t="shared" si="12"/>
        <v>No</v>
      </c>
      <c r="BZ19" s="146" t="str">
        <f t="shared" si="13"/>
        <v>No</v>
      </c>
      <c r="CA19" s="146" t="str">
        <f t="shared" si="14"/>
        <v>Only Available</v>
      </c>
      <c r="CB19" s="146" t="str">
        <f t="shared" si="15"/>
        <v>No</v>
      </c>
      <c r="CC19" s="146" t="str">
        <f>_xlfn.IFNA(IF(INDEX(Producer!$P:$P,MATCH($D19,Producer!$A:$A,0))="Help to Buy","Only available","No"),"")</f>
        <v>No</v>
      </c>
      <c r="CD19" s="146" t="str">
        <f>_xlfn.IFNA(IF(INDEX(Producer!$P:$P,MATCH($D19,Producer!$A:$A,0))="Shared Ownership","Only available","No"),"")</f>
        <v>No</v>
      </c>
      <c r="CE19" s="146" t="str">
        <f>_xlfn.IFNA(IF(INDEX(Producer!$P:$P,MATCH($D19,Producer!$A:$A,0))="Right to Buy","Only available","No"),"")</f>
        <v>No</v>
      </c>
      <c r="CF19" s="146" t="str">
        <f t="shared" si="16"/>
        <v>No</v>
      </c>
      <c r="CG19" s="146" t="str">
        <f>_xlfn.IFNA(IF(INDEX(Producer!$P:$P,MATCH($D19,Producer!$A:$A,0))="Retirement Interest Only","Only available","No"),"")</f>
        <v>No</v>
      </c>
      <c r="CH19" s="146" t="str">
        <f t="shared" si="17"/>
        <v>No</v>
      </c>
      <c r="CI19" s="146" t="str">
        <f>_xlfn.IFNA(IF(INDEX(Producer!$P:$P,MATCH($D19,Producer!$A:$A,0))="Intermediary Holiday Let","Only available","No"),"")</f>
        <v>No</v>
      </c>
      <c r="CJ19" s="146" t="str">
        <f t="shared" si="18"/>
        <v>No</v>
      </c>
      <c r="CK19" s="146" t="str">
        <f>_xlfn.IFNA(IF(OR(INDEX(Producer!$P:$P,MATCH($D19,Producer!$A:$A,0))="Intermediary Small HMO",INDEX(Producer!$P:$P,MATCH($D19,Producer!$A:$A,0))="Intermediary Large HMO"),"Only available","No"),"")</f>
        <v>No</v>
      </c>
      <c r="CL19" s="146" t="str">
        <f t="shared" si="19"/>
        <v>No</v>
      </c>
      <c r="CM19" s="146" t="str">
        <f t="shared" si="20"/>
        <v>No</v>
      </c>
      <c r="CN19" s="146" t="str">
        <f t="shared" si="21"/>
        <v>No</v>
      </c>
      <c r="CO19" s="146" t="str">
        <f t="shared" si="22"/>
        <v>Also available</v>
      </c>
      <c r="CP19" s="146" t="str">
        <f t="shared" si="23"/>
        <v>No</v>
      </c>
      <c r="CQ19" s="146" t="str">
        <f t="shared" si="24"/>
        <v>No</v>
      </c>
      <c r="CR19" s="146" t="str">
        <f t="shared" si="25"/>
        <v>Also available</v>
      </c>
      <c r="CS19" s="146" t="str">
        <f t="shared" si="26"/>
        <v>Only available</v>
      </c>
      <c r="CT19" s="146" t="str">
        <f t="shared" si="27"/>
        <v>No</v>
      </c>
      <c r="CU19" s="146"/>
    </row>
    <row r="20" spans="1:99" ht="16.399999999999999" customHeight="1" x14ac:dyDescent="0.35">
      <c r="A20" s="145" t="str">
        <f t="shared" si="0"/>
        <v>Leeds Building Society</v>
      </c>
      <c r="B20" s="145" t="str">
        <f>_xlfn.IFNA(_xlfn.CONCAT(INDEX(Producer!$P:$P,MATCH($D20,Producer!$A:$A,0))," ",IF(INDEX(Producer!$N:$N,MATCH($D20,Producer!$A:$A,0))="Yes","Green ",""),IF(AND(INDEX(Producer!$L:$L,MATCH($D20,Producer!$A:$A,0))="No",INDEX(Producer!$C:$C,MATCH($D20,Producer!$A:$A,0))="Fixed"),"Flexit ",""),INDEX(Producer!$B:$B,MATCH($D20,Producer!$A:$A,0))," Year ",INDEX(Producer!$C:$C,MATCH($D20,Producer!$A:$A,0))," ",VALUE(INDEX(Producer!$E:$E,MATCH($D20,Producer!$A:$A,0)))*100,"% LTV",IF(INDEX(Producer!$N:$N,MATCH($D20,Producer!$A:$A,0))="Yes"," (EPC A-C)","")," - ",IF(INDEX(Producer!$D:$D,MATCH($D20,Producer!$A:$A,0))="DLY","Daily","Annual")),"")</f>
        <v>Second Homes 2 Year Fixed 125% LTV - Daily</v>
      </c>
      <c r="C20" s="146" t="str">
        <f>_xlfn.IFNA(INDEX(Producer!$Q:$Q,MATCH($D20,Producer!$A:$A,0)),"")</f>
        <v>Residential</v>
      </c>
      <c r="D20" s="146">
        <f>IFERROR(VALUE(MID(Producer!$R$2,IF($D19="",1/0,FIND(_xlfn.CONCAT($D18,$D19),Producer!$R$2)+10),5)),"")</f>
        <v>54274</v>
      </c>
      <c r="E20" s="146" t="str">
        <f t="shared" si="1"/>
        <v>Stepped Fixed</v>
      </c>
      <c r="F20" s="146"/>
      <c r="G20" s="147">
        <f>_xlfn.IFNA(VALUE(INDEX(Producer!$F:$F,MATCH($D20,Producer!$A:$A,0)))*100,"")</f>
        <v>7.1400000000000006</v>
      </c>
      <c r="H20" s="216">
        <f>_xlfn.IFNA(IFERROR(DATEVALUE(INDEX(Producer!$M:$M,MATCH($D20,Producer!$A:$A,0))),(INDEX(Producer!$M:$M,MATCH($D20,Producer!$A:$A,0)))),"")</f>
        <v>46418</v>
      </c>
      <c r="I20" s="217">
        <f>_xlfn.IFNA(VALUE(INDEX(Producer!$B:$B,MATCH($D20,Producer!$A:$A,0)))*12,"")</f>
        <v>24</v>
      </c>
      <c r="J20" s="146">
        <f>_xlfn.IFNA(IF(C20="Residential",IF(VALUE(INDEX(Producer!$B:$B,MATCH($D20,Producer!$A:$A,0)))&lt;5,Constants!$C$10,""),IF(VALUE(INDEX(Producer!$B:$B,MATCH($D20,Producer!$A:$A,0)))&lt;5,Constants!$C$11,"")),"")</f>
        <v>7.49</v>
      </c>
      <c r="K20" s="216">
        <f>_xlfn.IFNA(IF(($I20)&lt;60,DATE(YEAR(H20)+(5-VALUE(INDEX(Producer!$B:$B,MATCH($D20,Producer!$A:$A,0)))),MONTH(H20),DAY(H20)),""),"")</f>
        <v>47514</v>
      </c>
      <c r="L20" s="153">
        <f t="shared" si="2"/>
        <v>36</v>
      </c>
      <c r="M20" s="146"/>
      <c r="N20" s="148"/>
      <c r="O20" s="148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>
        <f>IF(D20="","",IF(C20="Residential",Constants!$B$10,Constants!$B$11))</f>
        <v>8.24</v>
      </c>
      <c r="AL20" s="146" t="str">
        <f t="shared" si="3"/>
        <v>SVR</v>
      </c>
      <c r="AM20" s="206" t="str">
        <f t="shared" si="4"/>
        <v/>
      </c>
      <c r="AN20" s="146">
        <f t="shared" si="5"/>
        <v>10</v>
      </c>
      <c r="AO20" s="149" t="str">
        <f t="shared" si="6"/>
        <v>Remortgage</v>
      </c>
      <c r="AP20" s="150" t="str">
        <f t="shared" si="7"/>
        <v>ProductTransfer</v>
      </c>
      <c r="AQ20" s="146">
        <f>IFERROR(_xlfn.IFNA(IF($BA20="No",0,IF(INDEX(Constants!B:B,MATCH(($I20/12),Constants!$A:$A,0))=0,0,INDEX(Constants!B:B,MATCH(($I20/12),Constants!$A:$A,0)))),0),"")</f>
        <v>2.5</v>
      </c>
      <c r="AR20" s="146">
        <f>IFERROR(_xlfn.IFNA(IF($BA20="No",0,IF(INDEX(Constants!C:C,MATCH(($I20/12),Constants!$A:$A,0))=0,0,INDEX(Constants!C:C,MATCH(($I20/12),Constants!$A:$A,0)))),0),"")</f>
        <v>1.5</v>
      </c>
      <c r="AS20" s="146">
        <f>IFERROR(_xlfn.IFNA(IF($BA20="No",0,IF(INDEX(Constants!D:D,MATCH(($I20/12),Constants!$A:$A,0))=0,0,INDEX(Constants!D:D,MATCH(($I20/12),Constants!$A:$A,0)))),0),"")</f>
        <v>0</v>
      </c>
      <c r="AT20" s="146">
        <f>IFERROR(_xlfn.IFNA(IF($BA20="No",0,IF(INDEX(Constants!E:E,MATCH(($I20/12),Constants!$A:$A,0))=0,0,INDEX(Constants!E:E,MATCH(($I20/12),Constants!$A:$A,0)))),0),"")</f>
        <v>0</v>
      </c>
      <c r="AU20" s="146">
        <f>IFERROR(_xlfn.IFNA(IF($BA20="No",0,IF(INDEX(Constants!F:F,MATCH(($I20/12),Constants!$A:$A,0))=0,0,INDEX(Constants!F:F,MATCH(($I20/12),Constants!$A:$A,0)))),0),"")</f>
        <v>0</v>
      </c>
      <c r="AV20" s="146">
        <f>IFERROR(_xlfn.IFNA(IF($BA20="No",0,IF(INDEX(Constants!G:G,MATCH(($I20/12),Constants!$A:$A,0))=0,0,INDEX(Constants!G:G,MATCH(($I20/12),Constants!$A:$A,0)))),0),"")</f>
        <v>0</v>
      </c>
      <c r="AW20" s="146">
        <f>IFERROR(_xlfn.IFNA(IF($BA20="No",0,IF(INDEX(Constants!H:H,MATCH(($I20/12),Constants!$A:$A,0))=0,0,INDEX(Constants!H:H,MATCH(($I20/12),Constants!$A:$A,0)))),0),"")</f>
        <v>0</v>
      </c>
      <c r="AX20" s="146">
        <f>IFERROR(_xlfn.IFNA(IF($BA20="No",0,IF(INDEX(Constants!I:I,MATCH(($I20/12),Constants!$A:$A,0))=0,0,INDEX(Constants!I:I,MATCH(($I20/12),Constants!$A:$A,0)))),0),"")</f>
        <v>0</v>
      </c>
      <c r="AY20" s="146">
        <f>IFERROR(_xlfn.IFNA(IF($BA20="No",0,IF(INDEX(Constants!J:J,MATCH(($I20/12),Constants!$A:$A,0))=0,0,INDEX(Constants!J:J,MATCH(($I20/12),Constants!$A:$A,0)))),0),"")</f>
        <v>0</v>
      </c>
      <c r="AZ20" s="146">
        <f>IFERROR(_xlfn.IFNA(IF($BA20="No",0,IF(INDEX(Constants!K:K,MATCH(($I20/12),Constants!$A:$A,0))=0,0,INDEX(Constants!K:K,MATCH(($I20/12),Constants!$A:$A,0)))),0),"")</f>
        <v>0</v>
      </c>
      <c r="BA20" s="147" t="str">
        <f>_xlfn.IFNA(INDEX(Producer!$L:$L,MATCH($D20,Producer!$A:$A,0)),"")</f>
        <v>Yes</v>
      </c>
      <c r="BB20" s="146" t="str">
        <f>IFERROR(IF(AQ20=0,"",IF(($I20/12)=15,_xlfn.CONCAT(Constants!$N$7,TEXT(DATE(YEAR(H20)-(($I20/12)-3),MONTH(H20),DAY(H20)),"dd/mm/yyyy"),", ",Constants!$P$7,TEXT(DATE(YEAR(H20)-(($I20/12)-8),MONTH(H20),DAY(H20)),"dd/mm/yyyy"),", ",Constants!$T$7,TEXT(DATE(YEAR(H20)-(($I20/12)-11),MONTH(H20),DAY(H20)),"dd/mm/yyyy"),", ",Constants!$V$7,TEXT(DATE(YEAR(H20)-(($I20/12)-13),MONTH(H20),DAY(H20)),"dd/mm/yyyy"),", ",Constants!$W$7,TEXT($H20,"dd/mm/yyyy")),IF(($I20/12)=10,_xlfn.CONCAT(Constants!$N$6,TEXT(DATE(YEAR(H20)-(($I20/12)-2),MONTH(H20),DAY(H20)),"dd/mm/yyyy"),", ",Constants!$P$6,TEXT(DATE(YEAR(H20)-(($I20/12)-6),MONTH(H20),DAY(H20)),"dd/mm/yyyy"),", ",Constants!$T$6,TEXT(DATE(YEAR(H20)-(($I20/12)-8),MONTH(H20),DAY(H20)),"dd/mm/yyyy"),", ",Constants!$V$6,TEXT(DATE(YEAR(H20)-(($I20/12)-9),MONTH(H20),DAY(H20)),"dd/mm/yyyy"),", ",Constants!$W$6,TEXT($H20,"dd/mm/yyyy")),IF(($I20/12)=5,_xlfn.CONCAT(Constants!$N$5,TEXT(DATE(YEAR(H20)-(($I20/12)-1),MONTH(H20),DAY(H20)),"dd/mm/yyyy"),", ",Constants!$O$5,TEXT(DATE(YEAR(H20)-(($I20/12)-2),MONTH(H20),DAY(H20)),"dd/mm/yyyy"),", ",Constants!$P$5,TEXT(DATE(YEAR(H20)-(($I20/12)-3),MONTH(H20),DAY(H20)),"dd/mm/yyyy"),", ",Constants!$Q$5,TEXT(DATE(YEAR(H20)-(($I20/12)-4),MONTH(H20),DAY(H20)),"dd/mm/yyyy"),", ",Constants!$R$5,TEXT($H20,"dd/mm/yyyy")),IF(($I20/12)=3,_xlfn.CONCAT(Constants!$N$4,TEXT(DATE(YEAR(H20)-(($I20/12)-1),MONTH(H20),DAY(H20)),"dd/mm/yyyy"),", ",Constants!$O$4,TEXT(DATE(YEAR(H20)-(($I20/12)-2),MONTH(H20),DAY(H20)),"dd/mm/yyyy"),", ",Constants!$P$4,TEXT($H20,"dd/mm/yyyy")),IF(($I20/12)=2,_xlfn.CONCAT(Constants!$N$3,TEXT(DATE(YEAR(H20)-(($I20/12)-1),MONTH(H20),DAY(H20)),"dd/mm/yyyy"),", ",Constants!$O$3,TEXT($H20,"dd/mm/yyyy")),IF(($I20/12)=1,_xlfn.CONCAT(Constants!$N$2,TEXT($H20,"dd/mm/yyyy")),"Update Constants"))))))),"")</f>
        <v>2.5% to 31/01/2026, 1.5% to 31/01/2027</v>
      </c>
      <c r="BC20" s="147">
        <f>_xlfn.IFNA(VALUE(INDEX(Producer!$K:$K,MATCH($D20,Producer!$A:$A,0))),"")</f>
        <v>0</v>
      </c>
      <c r="BD20" s="147" t="str">
        <f>_xlfn.IFNA(INDEX(Producer!$I:$I,MATCH($D20,Producer!$A:$A,0)),"")</f>
        <v>No</v>
      </c>
      <c r="BE20" s="147" t="str">
        <f t="shared" si="8"/>
        <v>Yes</v>
      </c>
      <c r="BF20" s="147"/>
      <c r="BG20" s="147"/>
      <c r="BH20" s="151">
        <f>_xlfn.IFNA(INDEX(Constants!$B:$B,MATCH(BC20,Constants!A:A,0)),"")</f>
        <v>0</v>
      </c>
      <c r="BI20" s="147" t="str">
        <f>IF(LEFT(B20,15)="Limited Company",Constants!$D$16,IFERROR(_xlfn.IFNA(IF(C20="Residential",IF(BK20&lt;75,INDEX(Constants!$B:$B,MATCH(VALUE(60)/100,Constants!$A:$A,0)),INDEX(Constants!$B:$B,MATCH(VALUE(BK20)/100,Constants!$A:$A,0))),IF(BK20&lt;60,INDEX(Constants!$C:$C,MATCH(VALUE(60)/100,Constants!$A:$A,0)),INDEX(Constants!$C:$C,MATCH(VALUE(BK20)/100,Constants!$A:$A,0)))),""),""))</f>
        <v/>
      </c>
      <c r="BJ20" s="147">
        <f t="shared" si="9"/>
        <v>0</v>
      </c>
      <c r="BK20" s="147">
        <f>_xlfn.IFNA(VALUE(INDEX(Producer!$E:$E,MATCH($D20,Producer!$A:$A,0)))*100,"")</f>
        <v>125</v>
      </c>
      <c r="BL20" s="146" t="str">
        <f>_xlfn.IFNA(IF(IFERROR(FIND("Part &amp; Part",B20),-10)&gt;0,"PP",IF(OR(LEFT(B20,25)="Residential Interest Only",INDEX(Producer!$P:$P,MATCH($D20,Producer!$A:$A,0))="IO",INDEX(Producer!$P:$P,MATCH($D20,Producer!$A:$A,0))="Retirement Interest Only"),"IO",IF($C20="BuyToLet","CI, IO","CI"))),"")</f>
        <v>CI</v>
      </c>
      <c r="BM20" s="152" t="str">
        <f>_xlfn.IFNA(IF(BL20="IO",100%,IF(AND(INDEX(Producer!$P:$P,MATCH($D20,Producer!$A:$A,0))="Residential Interest Only Part &amp; Part",BK20=75),80%,IF(C20="BuyToLet",100%,IF(BL20="Interest Only",100%,IF(AND(INDEX(Producer!$P:$P,MATCH($D20,Producer!$A:$A,0))="Residential Interest Only Part &amp; Part",BK20=60),100%,""))))),"")</f>
        <v/>
      </c>
      <c r="BN20" s="218" t="str">
        <f>_xlfn.IFNA(IF(VALUE(INDEX(Producer!$H:$H,MATCH($D20,Producer!$A:$A,0)))=0,"",VALUE(INDEX(Producer!$H:$H,MATCH($D20,Producer!$A:$A,0)))),"")</f>
        <v/>
      </c>
      <c r="BO20" s="153"/>
      <c r="BP20" s="153"/>
      <c r="BQ20" s="219">
        <f t="shared" si="10"/>
        <v>35</v>
      </c>
      <c r="BR20" s="146"/>
      <c r="BS20" s="146"/>
      <c r="BT20" s="146"/>
      <c r="BU20" s="146"/>
      <c r="BV20" s="219">
        <f t="shared" si="11"/>
        <v>199</v>
      </c>
      <c r="BW20" s="146"/>
      <c r="BX20" s="146"/>
      <c r="BY20" s="146" t="str">
        <f t="shared" si="12"/>
        <v>No</v>
      </c>
      <c r="BZ20" s="146" t="str">
        <f t="shared" si="13"/>
        <v>No</v>
      </c>
      <c r="CA20" s="146" t="str">
        <f t="shared" si="14"/>
        <v>Only Available</v>
      </c>
      <c r="CB20" s="146" t="str">
        <f t="shared" si="15"/>
        <v>No</v>
      </c>
      <c r="CC20" s="146" t="str">
        <f>_xlfn.IFNA(IF(INDEX(Producer!$P:$P,MATCH($D20,Producer!$A:$A,0))="Help to Buy","Only available","No"),"")</f>
        <v>No</v>
      </c>
      <c r="CD20" s="146" t="str">
        <f>_xlfn.IFNA(IF(INDEX(Producer!$P:$P,MATCH($D20,Producer!$A:$A,0))="Shared Ownership","Only available","No"),"")</f>
        <v>No</v>
      </c>
      <c r="CE20" s="146" t="str">
        <f>_xlfn.IFNA(IF(INDEX(Producer!$P:$P,MATCH($D20,Producer!$A:$A,0))="Right to Buy","Only available","No"),"")</f>
        <v>No</v>
      </c>
      <c r="CF20" s="146" t="str">
        <f t="shared" si="16"/>
        <v>No</v>
      </c>
      <c r="CG20" s="146" t="str">
        <f>_xlfn.IFNA(IF(INDEX(Producer!$P:$P,MATCH($D20,Producer!$A:$A,0))="Retirement Interest Only","Only available","No"),"")</f>
        <v>No</v>
      </c>
      <c r="CH20" s="146" t="str">
        <f t="shared" si="17"/>
        <v>No</v>
      </c>
      <c r="CI20" s="146" t="str">
        <f>_xlfn.IFNA(IF(INDEX(Producer!$P:$P,MATCH($D20,Producer!$A:$A,0))="Intermediary Holiday Let","Only available","No"),"")</f>
        <v>No</v>
      </c>
      <c r="CJ20" s="146" t="str">
        <f t="shared" si="18"/>
        <v>No</v>
      </c>
      <c r="CK20" s="146" t="str">
        <f>_xlfn.IFNA(IF(OR(INDEX(Producer!$P:$P,MATCH($D20,Producer!$A:$A,0))="Intermediary Small HMO",INDEX(Producer!$P:$P,MATCH($D20,Producer!$A:$A,0))="Intermediary Large HMO"),"Only available","No"),"")</f>
        <v>No</v>
      </c>
      <c r="CL20" s="146" t="str">
        <f t="shared" si="19"/>
        <v>No</v>
      </c>
      <c r="CM20" s="146" t="str">
        <f t="shared" si="20"/>
        <v>No</v>
      </c>
      <c r="CN20" s="146" t="str">
        <f t="shared" si="21"/>
        <v>No</v>
      </c>
      <c r="CO20" s="146" t="str">
        <f t="shared" si="22"/>
        <v>No</v>
      </c>
      <c r="CP20" s="146" t="str">
        <f t="shared" si="23"/>
        <v>No</v>
      </c>
      <c r="CQ20" s="146" t="str">
        <f t="shared" si="24"/>
        <v>No</v>
      </c>
      <c r="CR20" s="146" t="str">
        <f t="shared" si="25"/>
        <v>Also available</v>
      </c>
      <c r="CS20" s="146" t="str">
        <f t="shared" si="26"/>
        <v>Only available</v>
      </c>
      <c r="CT20" s="146" t="str">
        <f t="shared" si="27"/>
        <v>No</v>
      </c>
      <c r="CU20" s="146"/>
    </row>
    <row r="21" spans="1:99" ht="16.399999999999999" customHeight="1" x14ac:dyDescent="0.35">
      <c r="A21" s="145" t="str">
        <f t="shared" si="0"/>
        <v>Leeds Building Society</v>
      </c>
      <c r="B21" s="145" t="str">
        <f>_xlfn.IFNA(_xlfn.CONCAT(INDEX(Producer!$P:$P,MATCH($D21,Producer!$A:$A,0))," ",IF(INDEX(Producer!$N:$N,MATCH($D21,Producer!$A:$A,0))="Yes","Green ",""),IF(AND(INDEX(Producer!$L:$L,MATCH($D21,Producer!$A:$A,0))="No",INDEX(Producer!$C:$C,MATCH($D21,Producer!$A:$A,0))="Fixed"),"Flexit ",""),INDEX(Producer!$B:$B,MATCH($D21,Producer!$A:$A,0))," Year ",INDEX(Producer!$C:$C,MATCH($D21,Producer!$A:$A,0))," ",VALUE(INDEX(Producer!$E:$E,MATCH($D21,Producer!$A:$A,0)))*100,"% LTV",IF(INDEX(Producer!$N:$N,MATCH($D21,Producer!$A:$A,0))="Yes"," (EPC A-C)","")," - ",IF(INDEX(Producer!$D:$D,MATCH($D21,Producer!$A:$A,0))="DLY","Daily","Annual")),"")</f>
        <v>Second Homes 5 Year Fixed 65% LTV - Daily</v>
      </c>
      <c r="C21" s="146" t="str">
        <f>_xlfn.IFNA(INDEX(Producer!$Q:$Q,MATCH($D21,Producer!$A:$A,0)),"")</f>
        <v>Residential</v>
      </c>
      <c r="D21" s="146">
        <f>IFERROR(VALUE(MID(Producer!$R$2,IF($D20="",1/0,FIND(_xlfn.CONCAT($D19,$D20),Producer!$R$2)+10),5)),"")</f>
        <v>54273</v>
      </c>
      <c r="E21" s="146" t="str">
        <f t="shared" si="1"/>
        <v>Fixed</v>
      </c>
      <c r="F21" s="146"/>
      <c r="G21" s="147">
        <f>_xlfn.IFNA(VALUE(INDEX(Producer!$F:$F,MATCH($D21,Producer!$A:$A,0)))*100,"")</f>
        <v>5.3900000000000006</v>
      </c>
      <c r="H21" s="216">
        <f>_xlfn.IFNA(IFERROR(DATEVALUE(INDEX(Producer!$M:$M,MATCH($D21,Producer!$A:$A,0))),(INDEX(Producer!$M:$M,MATCH($D21,Producer!$A:$A,0)))),"")</f>
        <v>47514</v>
      </c>
      <c r="I21" s="217">
        <f>_xlfn.IFNA(VALUE(INDEX(Producer!$B:$B,MATCH($D21,Producer!$A:$A,0)))*12,"")</f>
        <v>60</v>
      </c>
      <c r="J21" s="146" t="str">
        <f>_xlfn.IFNA(IF(C21="Residential",IF(VALUE(INDEX(Producer!$B:$B,MATCH($D21,Producer!$A:$A,0)))&lt;5,Constants!$C$10,""),IF(VALUE(INDEX(Producer!$B:$B,MATCH($D21,Producer!$A:$A,0)))&lt;5,Constants!$C$11,"")),"")</f>
        <v/>
      </c>
      <c r="K21" s="216" t="str">
        <f>_xlfn.IFNA(IF(($I21)&lt;60,DATE(YEAR(H21)+(5-VALUE(INDEX(Producer!$B:$B,MATCH($D21,Producer!$A:$A,0)))),MONTH(H21),DAY(H21)),""),"")</f>
        <v/>
      </c>
      <c r="L21" s="153" t="str">
        <f t="shared" si="2"/>
        <v/>
      </c>
      <c r="M21" s="146"/>
      <c r="N21" s="148"/>
      <c r="O21" s="148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>
        <f>IF(D21="","",IF(C21="Residential",Constants!$B$10,Constants!$B$11))</f>
        <v>8.24</v>
      </c>
      <c r="AL21" s="146" t="str">
        <f t="shared" si="3"/>
        <v>SVR</v>
      </c>
      <c r="AM21" s="206" t="str">
        <f t="shared" si="4"/>
        <v/>
      </c>
      <c r="AN21" s="146">
        <f t="shared" si="5"/>
        <v>10</v>
      </c>
      <c r="AO21" s="149" t="str">
        <f t="shared" si="6"/>
        <v>Remortgage</v>
      </c>
      <c r="AP21" s="150" t="str">
        <f t="shared" si="7"/>
        <v>ProductTransfer</v>
      </c>
      <c r="AQ21" s="146">
        <f>IFERROR(_xlfn.IFNA(IF($BA21="No",0,IF(INDEX(Constants!B:B,MATCH(($I21/12),Constants!$A:$A,0))=0,0,INDEX(Constants!B:B,MATCH(($I21/12),Constants!$A:$A,0)))),0),"")</f>
        <v>5</v>
      </c>
      <c r="AR21" s="146">
        <f>IFERROR(_xlfn.IFNA(IF($BA21="No",0,IF(INDEX(Constants!C:C,MATCH(($I21/12),Constants!$A:$A,0))=0,0,INDEX(Constants!C:C,MATCH(($I21/12),Constants!$A:$A,0)))),0),"")</f>
        <v>5</v>
      </c>
      <c r="AS21" s="146">
        <f>IFERROR(_xlfn.IFNA(IF($BA21="No",0,IF(INDEX(Constants!D:D,MATCH(($I21/12),Constants!$A:$A,0))=0,0,INDEX(Constants!D:D,MATCH(($I21/12),Constants!$A:$A,0)))),0),"")</f>
        <v>4</v>
      </c>
      <c r="AT21" s="146">
        <f>IFERROR(_xlfn.IFNA(IF($BA21="No",0,IF(INDEX(Constants!E:E,MATCH(($I21/12),Constants!$A:$A,0))=0,0,INDEX(Constants!E:E,MATCH(($I21/12),Constants!$A:$A,0)))),0),"")</f>
        <v>3</v>
      </c>
      <c r="AU21" s="146">
        <f>IFERROR(_xlfn.IFNA(IF($BA21="No",0,IF(INDEX(Constants!F:F,MATCH(($I21/12),Constants!$A:$A,0))=0,0,INDEX(Constants!F:F,MATCH(($I21/12),Constants!$A:$A,0)))),0),"")</f>
        <v>2</v>
      </c>
      <c r="AV21" s="146">
        <f>IFERROR(_xlfn.IFNA(IF($BA21="No",0,IF(INDEX(Constants!G:G,MATCH(($I21/12),Constants!$A:$A,0))=0,0,INDEX(Constants!G:G,MATCH(($I21/12),Constants!$A:$A,0)))),0),"")</f>
        <v>0</v>
      </c>
      <c r="AW21" s="146">
        <f>IFERROR(_xlfn.IFNA(IF($BA21="No",0,IF(INDEX(Constants!H:H,MATCH(($I21/12),Constants!$A:$A,0))=0,0,INDEX(Constants!H:H,MATCH(($I21/12),Constants!$A:$A,0)))),0),"")</f>
        <v>0</v>
      </c>
      <c r="AX21" s="146">
        <f>IFERROR(_xlfn.IFNA(IF($BA21="No",0,IF(INDEX(Constants!I:I,MATCH(($I21/12),Constants!$A:$A,0))=0,0,INDEX(Constants!I:I,MATCH(($I21/12),Constants!$A:$A,0)))),0),"")</f>
        <v>0</v>
      </c>
      <c r="AY21" s="146">
        <f>IFERROR(_xlfn.IFNA(IF($BA21="No",0,IF(INDEX(Constants!J:J,MATCH(($I21/12),Constants!$A:$A,0))=0,0,INDEX(Constants!J:J,MATCH(($I21/12),Constants!$A:$A,0)))),0),"")</f>
        <v>0</v>
      </c>
      <c r="AZ21" s="146">
        <f>IFERROR(_xlfn.IFNA(IF($BA21="No",0,IF(INDEX(Constants!K:K,MATCH(($I21/12),Constants!$A:$A,0))=0,0,INDEX(Constants!K:K,MATCH(($I21/12),Constants!$A:$A,0)))),0),"")</f>
        <v>0</v>
      </c>
      <c r="BA21" s="147" t="str">
        <f>_xlfn.IFNA(INDEX(Producer!$L:$L,MATCH($D21,Producer!$A:$A,0)),"")</f>
        <v>Yes</v>
      </c>
      <c r="BB21" s="146" t="str">
        <f>IFERROR(IF(AQ21=0,"",IF(($I21/12)=15,_xlfn.CONCAT(Constants!$N$7,TEXT(DATE(YEAR(H21)-(($I21/12)-3),MONTH(H21),DAY(H21)),"dd/mm/yyyy"),", ",Constants!$P$7,TEXT(DATE(YEAR(H21)-(($I21/12)-8),MONTH(H21),DAY(H21)),"dd/mm/yyyy"),", ",Constants!$T$7,TEXT(DATE(YEAR(H21)-(($I21/12)-11),MONTH(H21),DAY(H21)),"dd/mm/yyyy"),", ",Constants!$V$7,TEXT(DATE(YEAR(H21)-(($I21/12)-13),MONTH(H21),DAY(H21)),"dd/mm/yyyy"),", ",Constants!$W$7,TEXT($H21,"dd/mm/yyyy")),IF(($I21/12)=10,_xlfn.CONCAT(Constants!$N$6,TEXT(DATE(YEAR(H21)-(($I21/12)-2),MONTH(H21),DAY(H21)),"dd/mm/yyyy"),", ",Constants!$P$6,TEXT(DATE(YEAR(H21)-(($I21/12)-6),MONTH(H21),DAY(H21)),"dd/mm/yyyy"),", ",Constants!$T$6,TEXT(DATE(YEAR(H21)-(($I21/12)-8),MONTH(H21),DAY(H21)),"dd/mm/yyyy"),", ",Constants!$V$6,TEXT(DATE(YEAR(H21)-(($I21/12)-9),MONTH(H21),DAY(H21)),"dd/mm/yyyy"),", ",Constants!$W$6,TEXT($H21,"dd/mm/yyyy")),IF(($I21/12)=5,_xlfn.CONCAT(Constants!$N$5,TEXT(DATE(YEAR(H21)-(($I21/12)-1),MONTH(H21),DAY(H21)),"dd/mm/yyyy"),", ",Constants!$O$5,TEXT(DATE(YEAR(H21)-(($I21/12)-2),MONTH(H21),DAY(H21)),"dd/mm/yyyy"),", ",Constants!$P$5,TEXT(DATE(YEAR(H21)-(($I21/12)-3),MONTH(H21),DAY(H21)),"dd/mm/yyyy"),", ",Constants!$Q$5,TEXT(DATE(YEAR(H21)-(($I21/12)-4),MONTH(H21),DAY(H21)),"dd/mm/yyyy"),", ",Constants!$R$5,TEXT($H21,"dd/mm/yyyy")),IF(($I21/12)=3,_xlfn.CONCAT(Constants!$N$4,TEXT(DATE(YEAR(H21)-(($I21/12)-1),MONTH(H21),DAY(H21)),"dd/mm/yyyy"),", ",Constants!$O$4,TEXT(DATE(YEAR(H21)-(($I21/12)-2),MONTH(H21),DAY(H21)),"dd/mm/yyyy"),", ",Constants!$P$4,TEXT($H21,"dd/mm/yyyy")),IF(($I21/12)=2,_xlfn.CONCAT(Constants!$N$3,TEXT(DATE(YEAR(H21)-(($I21/12)-1),MONTH(H21),DAY(H21)),"dd/mm/yyyy"),", ",Constants!$O$3,TEXT($H21,"dd/mm/yyyy")),IF(($I21/12)=1,_xlfn.CONCAT(Constants!$N$2,TEXT($H21,"dd/mm/yyyy")),"Update Constants"))))))),"")</f>
        <v>5% to 31/01/2026, 5% to 31/01/2027, 4% to 31/01/2028, 3% to 31/01/2029, 2% to 31/01/2030</v>
      </c>
      <c r="BC21" s="147">
        <f>_xlfn.IFNA(VALUE(INDEX(Producer!$K:$K,MATCH($D21,Producer!$A:$A,0))),"")</f>
        <v>0</v>
      </c>
      <c r="BD21" s="147" t="str">
        <f>_xlfn.IFNA(INDEX(Producer!$I:$I,MATCH($D21,Producer!$A:$A,0)),"")</f>
        <v>No</v>
      </c>
      <c r="BE21" s="147" t="str">
        <f t="shared" si="8"/>
        <v>Yes</v>
      </c>
      <c r="BF21" s="147"/>
      <c r="BG21" s="147"/>
      <c r="BH21" s="151">
        <f>_xlfn.IFNA(INDEX(Constants!$B:$B,MATCH(BC21,Constants!A:A,0)),"")</f>
        <v>0</v>
      </c>
      <c r="BI21" s="147">
        <f>IF(LEFT(B21,15)="Limited Company",Constants!$D$16,IFERROR(_xlfn.IFNA(IF(C21="Residential",IF(BK21&lt;75,INDEX(Constants!$B:$B,MATCH(VALUE(60)/100,Constants!$A:$A,0)),INDEX(Constants!$B:$B,MATCH(VALUE(BK21)/100,Constants!$A:$A,0))),IF(BK21&lt;60,INDEX(Constants!$C:$C,MATCH(VALUE(60)/100,Constants!$A:$A,0)),INDEX(Constants!$C:$C,MATCH(VALUE(BK21)/100,Constants!$A:$A,0)))),""),""))</f>
        <v>2000000</v>
      </c>
      <c r="BJ21" s="147">
        <f t="shared" si="9"/>
        <v>0</v>
      </c>
      <c r="BK21" s="147">
        <f>_xlfn.IFNA(VALUE(INDEX(Producer!$E:$E,MATCH($D21,Producer!$A:$A,0)))*100,"")</f>
        <v>65</v>
      </c>
      <c r="BL21" s="146" t="str">
        <f>_xlfn.IFNA(IF(IFERROR(FIND("Part &amp; Part",B21),-10)&gt;0,"PP",IF(OR(LEFT(B21,25)="Residential Interest Only",INDEX(Producer!$P:$P,MATCH($D21,Producer!$A:$A,0))="IO",INDEX(Producer!$P:$P,MATCH($D21,Producer!$A:$A,0))="Retirement Interest Only"),"IO",IF($C21="BuyToLet","CI, IO","CI"))),"")</f>
        <v>CI</v>
      </c>
      <c r="BM21" s="152" t="str">
        <f>_xlfn.IFNA(IF(BL21="IO",100%,IF(AND(INDEX(Producer!$P:$P,MATCH($D21,Producer!$A:$A,0))="Residential Interest Only Part &amp; Part",BK21=75),80%,IF(C21="BuyToLet",100%,IF(BL21="Interest Only",100%,IF(AND(INDEX(Producer!$P:$P,MATCH($D21,Producer!$A:$A,0))="Residential Interest Only Part &amp; Part",BK21=60),100%,""))))),"")</f>
        <v/>
      </c>
      <c r="BN21" s="218" t="str">
        <f>_xlfn.IFNA(IF(VALUE(INDEX(Producer!$H:$H,MATCH($D21,Producer!$A:$A,0)))=0,"",VALUE(INDEX(Producer!$H:$H,MATCH($D21,Producer!$A:$A,0)))),"")</f>
        <v/>
      </c>
      <c r="BO21" s="153"/>
      <c r="BP21" s="153"/>
      <c r="BQ21" s="219">
        <f t="shared" si="10"/>
        <v>35</v>
      </c>
      <c r="BR21" s="146"/>
      <c r="BS21" s="146"/>
      <c r="BT21" s="146"/>
      <c r="BU21" s="146"/>
      <c r="BV21" s="219">
        <f t="shared" si="11"/>
        <v>199</v>
      </c>
      <c r="BW21" s="146"/>
      <c r="BX21" s="146"/>
      <c r="BY21" s="146" t="str">
        <f t="shared" si="12"/>
        <v>No</v>
      </c>
      <c r="BZ21" s="146" t="str">
        <f t="shared" si="13"/>
        <v>No</v>
      </c>
      <c r="CA21" s="146" t="str">
        <f t="shared" si="14"/>
        <v>Only Available</v>
      </c>
      <c r="CB21" s="146" t="str">
        <f t="shared" si="15"/>
        <v>No</v>
      </c>
      <c r="CC21" s="146" t="str">
        <f>_xlfn.IFNA(IF(INDEX(Producer!$P:$P,MATCH($D21,Producer!$A:$A,0))="Help to Buy","Only available","No"),"")</f>
        <v>No</v>
      </c>
      <c r="CD21" s="146" t="str">
        <f>_xlfn.IFNA(IF(INDEX(Producer!$P:$P,MATCH($D21,Producer!$A:$A,0))="Shared Ownership","Only available","No"),"")</f>
        <v>No</v>
      </c>
      <c r="CE21" s="146" t="str">
        <f>_xlfn.IFNA(IF(INDEX(Producer!$P:$P,MATCH($D21,Producer!$A:$A,0))="Right to Buy","Only available","No"),"")</f>
        <v>No</v>
      </c>
      <c r="CF21" s="146" t="str">
        <f t="shared" si="16"/>
        <v>No</v>
      </c>
      <c r="CG21" s="146" t="str">
        <f>_xlfn.IFNA(IF(INDEX(Producer!$P:$P,MATCH($D21,Producer!$A:$A,0))="Retirement Interest Only","Only available","No"),"")</f>
        <v>No</v>
      </c>
      <c r="CH21" s="146" t="str">
        <f t="shared" si="17"/>
        <v>No</v>
      </c>
      <c r="CI21" s="146" t="str">
        <f>_xlfn.IFNA(IF(INDEX(Producer!$P:$P,MATCH($D21,Producer!$A:$A,0))="Intermediary Holiday Let","Only available","No"),"")</f>
        <v>No</v>
      </c>
      <c r="CJ21" s="146" t="str">
        <f t="shared" si="18"/>
        <v>No</v>
      </c>
      <c r="CK21" s="146" t="str">
        <f>_xlfn.IFNA(IF(OR(INDEX(Producer!$P:$P,MATCH($D21,Producer!$A:$A,0))="Intermediary Small HMO",INDEX(Producer!$P:$P,MATCH($D21,Producer!$A:$A,0))="Intermediary Large HMO"),"Only available","No"),"")</f>
        <v>No</v>
      </c>
      <c r="CL21" s="146" t="str">
        <f t="shared" si="19"/>
        <v>No</v>
      </c>
      <c r="CM21" s="146" t="str">
        <f t="shared" si="20"/>
        <v>No</v>
      </c>
      <c r="CN21" s="146" t="str">
        <f t="shared" si="21"/>
        <v>No</v>
      </c>
      <c r="CO21" s="146" t="str">
        <f t="shared" si="22"/>
        <v>Also available</v>
      </c>
      <c r="CP21" s="146" t="str">
        <f t="shared" si="23"/>
        <v>No</v>
      </c>
      <c r="CQ21" s="146" t="str">
        <f t="shared" si="24"/>
        <v>No</v>
      </c>
      <c r="CR21" s="146" t="str">
        <f t="shared" si="25"/>
        <v>Also available</v>
      </c>
      <c r="CS21" s="146" t="str">
        <f t="shared" si="26"/>
        <v>Only available</v>
      </c>
      <c r="CT21" s="146" t="str">
        <f t="shared" si="27"/>
        <v>No</v>
      </c>
      <c r="CU21" s="146"/>
    </row>
    <row r="22" spans="1:99" ht="16.399999999999999" customHeight="1" x14ac:dyDescent="0.35">
      <c r="A22" s="145" t="str">
        <f t="shared" si="0"/>
        <v>Leeds Building Society</v>
      </c>
      <c r="B22" s="145" t="str">
        <f>_xlfn.IFNA(_xlfn.CONCAT(INDEX(Producer!$P:$P,MATCH($D22,Producer!$A:$A,0))," ",IF(INDEX(Producer!$N:$N,MATCH($D22,Producer!$A:$A,0))="Yes","Green ",""),IF(AND(INDEX(Producer!$L:$L,MATCH($D22,Producer!$A:$A,0))="No",INDEX(Producer!$C:$C,MATCH($D22,Producer!$A:$A,0))="Fixed"),"Flexit ",""),INDEX(Producer!$B:$B,MATCH($D22,Producer!$A:$A,0))," Year ",INDEX(Producer!$C:$C,MATCH($D22,Producer!$A:$A,0))," ",VALUE(INDEX(Producer!$E:$E,MATCH($D22,Producer!$A:$A,0)))*100,"% LTV",IF(INDEX(Producer!$N:$N,MATCH($D22,Producer!$A:$A,0))="Yes"," (EPC A-C)","")," - ",IF(INDEX(Producer!$D:$D,MATCH($D22,Producer!$A:$A,0))="DLY","Daily","Annual")),"")</f>
        <v>Second Homes 5 Year Fixed 85% LTV - Daily</v>
      </c>
      <c r="C22" s="146" t="str">
        <f>_xlfn.IFNA(INDEX(Producer!$Q:$Q,MATCH($D22,Producer!$A:$A,0)),"")</f>
        <v>Residential</v>
      </c>
      <c r="D22" s="146">
        <f>IFERROR(VALUE(MID(Producer!$R$2,IF($D21="",1/0,FIND(_xlfn.CONCAT($D20,$D21),Producer!$R$2)+10),5)),"")</f>
        <v>54276</v>
      </c>
      <c r="E22" s="146" t="str">
        <f t="shared" si="1"/>
        <v>Fixed</v>
      </c>
      <c r="F22" s="146"/>
      <c r="G22" s="147">
        <f>_xlfn.IFNA(VALUE(INDEX(Producer!$F:$F,MATCH($D22,Producer!$A:$A,0)))*100,"")</f>
        <v>5.59</v>
      </c>
      <c r="H22" s="216">
        <f>_xlfn.IFNA(IFERROR(DATEVALUE(INDEX(Producer!$M:$M,MATCH($D22,Producer!$A:$A,0))),(INDEX(Producer!$M:$M,MATCH($D22,Producer!$A:$A,0)))),"")</f>
        <v>47514</v>
      </c>
      <c r="I22" s="217">
        <f>_xlfn.IFNA(VALUE(INDEX(Producer!$B:$B,MATCH($D22,Producer!$A:$A,0)))*12,"")</f>
        <v>60</v>
      </c>
      <c r="J22" s="146" t="str">
        <f>_xlfn.IFNA(IF(C22="Residential",IF(VALUE(INDEX(Producer!$B:$B,MATCH($D22,Producer!$A:$A,0)))&lt;5,Constants!$C$10,""),IF(VALUE(INDEX(Producer!$B:$B,MATCH($D22,Producer!$A:$A,0)))&lt;5,Constants!$C$11,"")),"")</f>
        <v/>
      </c>
      <c r="K22" s="216" t="str">
        <f>_xlfn.IFNA(IF(($I22)&lt;60,DATE(YEAR(H22)+(5-VALUE(INDEX(Producer!$B:$B,MATCH($D22,Producer!$A:$A,0)))),MONTH(H22),DAY(H22)),""),"")</f>
        <v/>
      </c>
      <c r="L22" s="153" t="str">
        <f t="shared" si="2"/>
        <v/>
      </c>
      <c r="M22" s="146"/>
      <c r="N22" s="148"/>
      <c r="O22" s="148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>
        <f>IF(D22="","",IF(C22="Residential",Constants!$B$10,Constants!$B$11))</f>
        <v>8.24</v>
      </c>
      <c r="AL22" s="146" t="str">
        <f t="shared" si="3"/>
        <v>SVR</v>
      </c>
      <c r="AM22" s="206" t="str">
        <f t="shared" si="4"/>
        <v/>
      </c>
      <c r="AN22" s="146">
        <f t="shared" si="5"/>
        <v>10</v>
      </c>
      <c r="AO22" s="149" t="str">
        <f t="shared" si="6"/>
        <v>Remortgage</v>
      </c>
      <c r="AP22" s="150" t="str">
        <f t="shared" si="7"/>
        <v>ProductTransfer</v>
      </c>
      <c r="AQ22" s="146">
        <f>IFERROR(_xlfn.IFNA(IF($BA22="No",0,IF(INDEX(Constants!B:B,MATCH(($I22/12),Constants!$A:$A,0))=0,0,INDEX(Constants!B:B,MATCH(($I22/12),Constants!$A:$A,0)))),0),"")</f>
        <v>5</v>
      </c>
      <c r="AR22" s="146">
        <f>IFERROR(_xlfn.IFNA(IF($BA22="No",0,IF(INDEX(Constants!C:C,MATCH(($I22/12),Constants!$A:$A,0))=0,0,INDEX(Constants!C:C,MATCH(($I22/12),Constants!$A:$A,0)))),0),"")</f>
        <v>5</v>
      </c>
      <c r="AS22" s="146">
        <f>IFERROR(_xlfn.IFNA(IF($BA22="No",0,IF(INDEX(Constants!D:D,MATCH(($I22/12),Constants!$A:$A,0))=0,0,INDEX(Constants!D:D,MATCH(($I22/12),Constants!$A:$A,0)))),0),"")</f>
        <v>4</v>
      </c>
      <c r="AT22" s="146">
        <f>IFERROR(_xlfn.IFNA(IF($BA22="No",0,IF(INDEX(Constants!E:E,MATCH(($I22/12),Constants!$A:$A,0))=0,0,INDEX(Constants!E:E,MATCH(($I22/12),Constants!$A:$A,0)))),0),"")</f>
        <v>3</v>
      </c>
      <c r="AU22" s="146">
        <f>IFERROR(_xlfn.IFNA(IF($BA22="No",0,IF(INDEX(Constants!F:F,MATCH(($I22/12),Constants!$A:$A,0))=0,0,INDEX(Constants!F:F,MATCH(($I22/12),Constants!$A:$A,0)))),0),"")</f>
        <v>2</v>
      </c>
      <c r="AV22" s="146">
        <f>IFERROR(_xlfn.IFNA(IF($BA22="No",0,IF(INDEX(Constants!G:G,MATCH(($I22/12),Constants!$A:$A,0))=0,0,INDEX(Constants!G:G,MATCH(($I22/12),Constants!$A:$A,0)))),0),"")</f>
        <v>0</v>
      </c>
      <c r="AW22" s="146">
        <f>IFERROR(_xlfn.IFNA(IF($BA22="No",0,IF(INDEX(Constants!H:H,MATCH(($I22/12),Constants!$A:$A,0))=0,0,INDEX(Constants!H:H,MATCH(($I22/12),Constants!$A:$A,0)))),0),"")</f>
        <v>0</v>
      </c>
      <c r="AX22" s="146">
        <f>IFERROR(_xlfn.IFNA(IF($BA22="No",0,IF(INDEX(Constants!I:I,MATCH(($I22/12),Constants!$A:$A,0))=0,0,INDEX(Constants!I:I,MATCH(($I22/12),Constants!$A:$A,0)))),0),"")</f>
        <v>0</v>
      </c>
      <c r="AY22" s="146">
        <f>IFERROR(_xlfn.IFNA(IF($BA22="No",0,IF(INDEX(Constants!J:J,MATCH(($I22/12),Constants!$A:$A,0))=0,0,INDEX(Constants!J:J,MATCH(($I22/12),Constants!$A:$A,0)))),0),"")</f>
        <v>0</v>
      </c>
      <c r="AZ22" s="146">
        <f>IFERROR(_xlfn.IFNA(IF($BA22="No",0,IF(INDEX(Constants!K:K,MATCH(($I22/12),Constants!$A:$A,0))=0,0,INDEX(Constants!K:K,MATCH(($I22/12),Constants!$A:$A,0)))),0),"")</f>
        <v>0</v>
      </c>
      <c r="BA22" s="147" t="str">
        <f>_xlfn.IFNA(INDEX(Producer!$L:$L,MATCH($D22,Producer!$A:$A,0)),"")</f>
        <v>Yes</v>
      </c>
      <c r="BB22" s="146" t="str">
        <f>IFERROR(IF(AQ22=0,"",IF(($I22/12)=15,_xlfn.CONCAT(Constants!$N$7,TEXT(DATE(YEAR(H22)-(($I22/12)-3),MONTH(H22),DAY(H22)),"dd/mm/yyyy"),", ",Constants!$P$7,TEXT(DATE(YEAR(H22)-(($I22/12)-8),MONTH(H22),DAY(H22)),"dd/mm/yyyy"),", ",Constants!$T$7,TEXT(DATE(YEAR(H22)-(($I22/12)-11),MONTH(H22),DAY(H22)),"dd/mm/yyyy"),", ",Constants!$V$7,TEXT(DATE(YEAR(H22)-(($I22/12)-13),MONTH(H22),DAY(H22)),"dd/mm/yyyy"),", ",Constants!$W$7,TEXT($H22,"dd/mm/yyyy")),IF(($I22/12)=10,_xlfn.CONCAT(Constants!$N$6,TEXT(DATE(YEAR(H22)-(($I22/12)-2),MONTH(H22),DAY(H22)),"dd/mm/yyyy"),", ",Constants!$P$6,TEXT(DATE(YEAR(H22)-(($I22/12)-6),MONTH(H22),DAY(H22)),"dd/mm/yyyy"),", ",Constants!$T$6,TEXT(DATE(YEAR(H22)-(($I22/12)-8),MONTH(H22),DAY(H22)),"dd/mm/yyyy"),", ",Constants!$V$6,TEXT(DATE(YEAR(H22)-(($I22/12)-9),MONTH(H22),DAY(H22)),"dd/mm/yyyy"),", ",Constants!$W$6,TEXT($H22,"dd/mm/yyyy")),IF(($I22/12)=5,_xlfn.CONCAT(Constants!$N$5,TEXT(DATE(YEAR(H22)-(($I22/12)-1),MONTH(H22),DAY(H22)),"dd/mm/yyyy"),", ",Constants!$O$5,TEXT(DATE(YEAR(H22)-(($I22/12)-2),MONTH(H22),DAY(H22)),"dd/mm/yyyy"),", ",Constants!$P$5,TEXT(DATE(YEAR(H22)-(($I22/12)-3),MONTH(H22),DAY(H22)),"dd/mm/yyyy"),", ",Constants!$Q$5,TEXT(DATE(YEAR(H22)-(($I22/12)-4),MONTH(H22),DAY(H22)),"dd/mm/yyyy"),", ",Constants!$R$5,TEXT($H22,"dd/mm/yyyy")),IF(($I22/12)=3,_xlfn.CONCAT(Constants!$N$4,TEXT(DATE(YEAR(H22)-(($I22/12)-1),MONTH(H22),DAY(H22)),"dd/mm/yyyy"),", ",Constants!$O$4,TEXT(DATE(YEAR(H22)-(($I22/12)-2),MONTH(H22),DAY(H22)),"dd/mm/yyyy"),", ",Constants!$P$4,TEXT($H22,"dd/mm/yyyy")),IF(($I22/12)=2,_xlfn.CONCAT(Constants!$N$3,TEXT(DATE(YEAR(H22)-(($I22/12)-1),MONTH(H22),DAY(H22)),"dd/mm/yyyy"),", ",Constants!$O$3,TEXT($H22,"dd/mm/yyyy")),IF(($I22/12)=1,_xlfn.CONCAT(Constants!$N$2,TEXT($H22,"dd/mm/yyyy")),"Update Constants"))))))),"")</f>
        <v>5% to 31/01/2026, 5% to 31/01/2027, 4% to 31/01/2028, 3% to 31/01/2029, 2% to 31/01/2030</v>
      </c>
      <c r="BC22" s="147">
        <f>_xlfn.IFNA(VALUE(INDEX(Producer!$K:$K,MATCH($D22,Producer!$A:$A,0))),"")</f>
        <v>0</v>
      </c>
      <c r="BD22" s="147" t="str">
        <f>_xlfn.IFNA(INDEX(Producer!$I:$I,MATCH($D22,Producer!$A:$A,0)),"")</f>
        <v>No</v>
      </c>
      <c r="BE22" s="147" t="str">
        <f t="shared" si="8"/>
        <v>Yes</v>
      </c>
      <c r="BF22" s="147"/>
      <c r="BG22" s="147"/>
      <c r="BH22" s="151">
        <f>_xlfn.IFNA(INDEX(Constants!$B:$B,MATCH(BC22,Constants!A:A,0)),"")</f>
        <v>0</v>
      </c>
      <c r="BI22" s="147">
        <f>IF(LEFT(B22,15)="Limited Company",Constants!$D$16,IFERROR(_xlfn.IFNA(IF(C22="Residential",IF(BK22&lt;75,INDEX(Constants!$B:$B,MATCH(VALUE(60)/100,Constants!$A:$A,0)),INDEX(Constants!$B:$B,MATCH(VALUE(BK22)/100,Constants!$A:$A,0))),IF(BK22&lt;60,INDEX(Constants!$C:$C,MATCH(VALUE(60)/100,Constants!$A:$A,0)),INDEX(Constants!$C:$C,MATCH(VALUE(BK22)/100,Constants!$A:$A,0)))),""),""))</f>
        <v>2000000</v>
      </c>
      <c r="BJ22" s="147">
        <f t="shared" si="9"/>
        <v>0</v>
      </c>
      <c r="BK22" s="147">
        <f>_xlfn.IFNA(VALUE(INDEX(Producer!$E:$E,MATCH($D22,Producer!$A:$A,0)))*100,"")</f>
        <v>85</v>
      </c>
      <c r="BL22" s="146" t="str">
        <f>_xlfn.IFNA(IF(IFERROR(FIND("Part &amp; Part",B22),-10)&gt;0,"PP",IF(OR(LEFT(B22,25)="Residential Interest Only",INDEX(Producer!$P:$P,MATCH($D22,Producer!$A:$A,0))="IO",INDEX(Producer!$P:$P,MATCH($D22,Producer!$A:$A,0))="Retirement Interest Only"),"IO",IF($C22="BuyToLet","CI, IO","CI"))),"")</f>
        <v>CI</v>
      </c>
      <c r="BM22" s="152" t="str">
        <f>_xlfn.IFNA(IF(BL22="IO",100%,IF(AND(INDEX(Producer!$P:$P,MATCH($D22,Producer!$A:$A,0))="Residential Interest Only Part &amp; Part",BK22=75),80%,IF(C22="BuyToLet",100%,IF(BL22="Interest Only",100%,IF(AND(INDEX(Producer!$P:$P,MATCH($D22,Producer!$A:$A,0))="Residential Interest Only Part &amp; Part",BK22=60),100%,""))))),"")</f>
        <v/>
      </c>
      <c r="BN22" s="218" t="str">
        <f>_xlfn.IFNA(IF(VALUE(INDEX(Producer!$H:$H,MATCH($D22,Producer!$A:$A,0)))=0,"",VALUE(INDEX(Producer!$H:$H,MATCH($D22,Producer!$A:$A,0)))),"")</f>
        <v/>
      </c>
      <c r="BO22" s="153"/>
      <c r="BP22" s="153"/>
      <c r="BQ22" s="219">
        <f t="shared" si="10"/>
        <v>35</v>
      </c>
      <c r="BR22" s="146"/>
      <c r="BS22" s="146"/>
      <c r="BT22" s="146"/>
      <c r="BU22" s="146"/>
      <c r="BV22" s="219">
        <f t="shared" si="11"/>
        <v>199</v>
      </c>
      <c r="BW22" s="146"/>
      <c r="BX22" s="146"/>
      <c r="BY22" s="146" t="str">
        <f t="shared" si="12"/>
        <v>No</v>
      </c>
      <c r="BZ22" s="146" t="str">
        <f t="shared" si="13"/>
        <v>No</v>
      </c>
      <c r="CA22" s="146" t="str">
        <f t="shared" si="14"/>
        <v>Only Available</v>
      </c>
      <c r="CB22" s="146" t="str">
        <f t="shared" si="15"/>
        <v>No</v>
      </c>
      <c r="CC22" s="146" t="str">
        <f>_xlfn.IFNA(IF(INDEX(Producer!$P:$P,MATCH($D22,Producer!$A:$A,0))="Help to Buy","Only available","No"),"")</f>
        <v>No</v>
      </c>
      <c r="CD22" s="146" t="str">
        <f>_xlfn.IFNA(IF(INDEX(Producer!$P:$P,MATCH($D22,Producer!$A:$A,0))="Shared Ownership","Only available","No"),"")</f>
        <v>No</v>
      </c>
      <c r="CE22" s="146" t="str">
        <f>_xlfn.IFNA(IF(INDEX(Producer!$P:$P,MATCH($D22,Producer!$A:$A,0))="Right to Buy","Only available","No"),"")</f>
        <v>No</v>
      </c>
      <c r="CF22" s="146" t="str">
        <f t="shared" si="16"/>
        <v>No</v>
      </c>
      <c r="CG22" s="146" t="str">
        <f>_xlfn.IFNA(IF(INDEX(Producer!$P:$P,MATCH($D22,Producer!$A:$A,0))="Retirement Interest Only","Only available","No"),"")</f>
        <v>No</v>
      </c>
      <c r="CH22" s="146" t="str">
        <f t="shared" si="17"/>
        <v>No</v>
      </c>
      <c r="CI22" s="146" t="str">
        <f>_xlfn.IFNA(IF(INDEX(Producer!$P:$P,MATCH($D22,Producer!$A:$A,0))="Intermediary Holiday Let","Only available","No"),"")</f>
        <v>No</v>
      </c>
      <c r="CJ22" s="146" t="str">
        <f t="shared" si="18"/>
        <v>No</v>
      </c>
      <c r="CK22" s="146" t="str">
        <f>_xlfn.IFNA(IF(OR(INDEX(Producer!$P:$P,MATCH($D22,Producer!$A:$A,0))="Intermediary Small HMO",INDEX(Producer!$P:$P,MATCH($D22,Producer!$A:$A,0))="Intermediary Large HMO"),"Only available","No"),"")</f>
        <v>No</v>
      </c>
      <c r="CL22" s="146" t="str">
        <f t="shared" si="19"/>
        <v>No</v>
      </c>
      <c r="CM22" s="146" t="str">
        <f t="shared" si="20"/>
        <v>No</v>
      </c>
      <c r="CN22" s="146" t="str">
        <f t="shared" si="21"/>
        <v>No</v>
      </c>
      <c r="CO22" s="146" t="str">
        <f t="shared" si="22"/>
        <v>Also available</v>
      </c>
      <c r="CP22" s="146" t="str">
        <f t="shared" si="23"/>
        <v>No</v>
      </c>
      <c r="CQ22" s="146" t="str">
        <f t="shared" si="24"/>
        <v>No</v>
      </c>
      <c r="CR22" s="146" t="str">
        <f t="shared" si="25"/>
        <v>Also available</v>
      </c>
      <c r="CS22" s="146" t="str">
        <f t="shared" si="26"/>
        <v>Only available</v>
      </c>
      <c r="CT22" s="146" t="str">
        <f t="shared" si="27"/>
        <v>No</v>
      </c>
      <c r="CU22" s="146"/>
    </row>
    <row r="23" spans="1:99" ht="16.399999999999999" customHeight="1" x14ac:dyDescent="0.35">
      <c r="A23" s="145" t="str">
        <f t="shared" si="0"/>
        <v>Leeds Building Society</v>
      </c>
      <c r="B23" s="145" t="str">
        <f>_xlfn.IFNA(_xlfn.CONCAT(INDEX(Producer!$P:$P,MATCH($D23,Producer!$A:$A,0))," ",IF(INDEX(Producer!$N:$N,MATCH($D23,Producer!$A:$A,0))="Yes","Green ",""),IF(AND(INDEX(Producer!$L:$L,MATCH($D23,Producer!$A:$A,0))="No",INDEX(Producer!$C:$C,MATCH($D23,Producer!$A:$A,0))="Fixed"),"Flexit ",""),INDEX(Producer!$B:$B,MATCH($D23,Producer!$A:$A,0))," Year ",INDEX(Producer!$C:$C,MATCH($D23,Producer!$A:$A,0))," ",VALUE(INDEX(Producer!$E:$E,MATCH($D23,Producer!$A:$A,0)))*100,"% LTV",IF(INDEX(Producer!$N:$N,MATCH($D23,Producer!$A:$A,0))="Yes"," (EPC A-C)","")," - ",IF(INDEX(Producer!$D:$D,MATCH($D23,Producer!$A:$A,0))="DLY","Daily","Annual")),"")</f>
        <v>Residential Interest Only 1 Year Fixed 150% LTV - Daily</v>
      </c>
      <c r="C23" s="146" t="str">
        <f>_xlfn.IFNA(INDEX(Producer!$Q:$Q,MATCH($D23,Producer!$A:$A,0)),"")</f>
        <v>Residential</v>
      </c>
      <c r="D23" s="146">
        <f>IFERROR(VALUE(MID(Producer!$R$2,IF($D22="",1/0,FIND(_xlfn.CONCAT($D21,$D22),Producer!$R$2)+10),5)),"")</f>
        <v>54175</v>
      </c>
      <c r="E23" s="146" t="str">
        <f t="shared" si="1"/>
        <v>Stepped Fixed</v>
      </c>
      <c r="F23" s="146"/>
      <c r="G23" s="147">
        <f>_xlfn.IFNA(VALUE(INDEX(Producer!$F:$F,MATCH($D23,Producer!$A:$A,0)))*100,"")</f>
        <v>6.99</v>
      </c>
      <c r="H23" s="216">
        <f>_xlfn.IFNA(IFERROR(DATEVALUE(INDEX(Producer!$M:$M,MATCH($D23,Producer!$A:$A,0))),(INDEX(Producer!$M:$M,MATCH($D23,Producer!$A:$A,0)))),"")</f>
        <v>46022</v>
      </c>
      <c r="I23" s="217">
        <f>_xlfn.IFNA(VALUE(INDEX(Producer!$B:$B,MATCH($D23,Producer!$A:$A,0)))*12,"")</f>
        <v>12</v>
      </c>
      <c r="J23" s="146">
        <f>_xlfn.IFNA(IF(C23="Residential",IF(VALUE(INDEX(Producer!$B:$B,MATCH($D23,Producer!$A:$A,0)))&lt;5,Constants!$C$10,""),IF(VALUE(INDEX(Producer!$B:$B,MATCH($D23,Producer!$A:$A,0)))&lt;5,Constants!$C$11,"")),"")</f>
        <v>7.49</v>
      </c>
      <c r="K23" s="216">
        <f>_xlfn.IFNA(IF(($I23)&lt;60,DATE(YEAR(H23)+(5-VALUE(INDEX(Producer!$B:$B,MATCH($D23,Producer!$A:$A,0)))),MONTH(H23),DAY(H23)),""),"")</f>
        <v>47483</v>
      </c>
      <c r="L23" s="153">
        <f t="shared" si="2"/>
        <v>48</v>
      </c>
      <c r="M23" s="146"/>
      <c r="N23" s="148"/>
      <c r="O23" s="148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>
        <f>IF(D23="","",IF(C23="Residential",Constants!$B$10,Constants!$B$11))</f>
        <v>8.24</v>
      </c>
      <c r="AL23" s="146" t="str">
        <f t="shared" si="3"/>
        <v>SVR</v>
      </c>
      <c r="AM23" s="206" t="str">
        <f t="shared" si="4"/>
        <v/>
      </c>
      <c r="AN23" s="146">
        <f t="shared" si="5"/>
        <v>10</v>
      </c>
      <c r="AO23" s="149" t="str">
        <f t="shared" si="6"/>
        <v>Remortgage</v>
      </c>
      <c r="AP23" s="150" t="str">
        <f t="shared" si="7"/>
        <v>ProductTransfer</v>
      </c>
      <c r="AQ23" s="146">
        <f>IFERROR(_xlfn.IFNA(IF($BA23="No",0,IF(INDEX(Constants!B:B,MATCH(($I23/12),Constants!$A:$A,0))=0,0,INDEX(Constants!B:B,MATCH(($I23/12),Constants!$A:$A,0)))),0),"")</f>
        <v>2</v>
      </c>
      <c r="AR23" s="146">
        <f>IFERROR(_xlfn.IFNA(IF($BA23="No",0,IF(INDEX(Constants!C:C,MATCH(($I23/12),Constants!$A:$A,0))=0,0,INDEX(Constants!C:C,MATCH(($I23/12),Constants!$A:$A,0)))),0),"")</f>
        <v>0</v>
      </c>
      <c r="AS23" s="146">
        <f>IFERROR(_xlfn.IFNA(IF($BA23="No",0,IF(INDEX(Constants!D:D,MATCH(($I23/12),Constants!$A:$A,0))=0,0,INDEX(Constants!D:D,MATCH(($I23/12),Constants!$A:$A,0)))),0),"")</f>
        <v>0</v>
      </c>
      <c r="AT23" s="146">
        <f>IFERROR(_xlfn.IFNA(IF($BA23="No",0,IF(INDEX(Constants!E:E,MATCH(($I23/12),Constants!$A:$A,0))=0,0,INDEX(Constants!E:E,MATCH(($I23/12),Constants!$A:$A,0)))),0),"")</f>
        <v>0</v>
      </c>
      <c r="AU23" s="146">
        <f>IFERROR(_xlfn.IFNA(IF($BA23="No",0,IF(INDEX(Constants!F:F,MATCH(($I23/12),Constants!$A:$A,0))=0,0,INDEX(Constants!F:F,MATCH(($I23/12),Constants!$A:$A,0)))),0),"")</f>
        <v>0</v>
      </c>
      <c r="AV23" s="146">
        <f>IFERROR(_xlfn.IFNA(IF($BA23="No",0,IF(INDEX(Constants!G:G,MATCH(($I23/12),Constants!$A:$A,0))=0,0,INDEX(Constants!G:G,MATCH(($I23/12),Constants!$A:$A,0)))),0),"")</f>
        <v>0</v>
      </c>
      <c r="AW23" s="146">
        <f>IFERROR(_xlfn.IFNA(IF($BA23="No",0,IF(INDEX(Constants!H:H,MATCH(($I23/12),Constants!$A:$A,0))=0,0,INDEX(Constants!H:H,MATCH(($I23/12),Constants!$A:$A,0)))),0),"")</f>
        <v>0</v>
      </c>
      <c r="AX23" s="146">
        <f>IFERROR(_xlfn.IFNA(IF($BA23="No",0,IF(INDEX(Constants!I:I,MATCH(($I23/12),Constants!$A:$A,0))=0,0,INDEX(Constants!I:I,MATCH(($I23/12),Constants!$A:$A,0)))),0),"")</f>
        <v>0</v>
      </c>
      <c r="AY23" s="146">
        <f>IFERROR(_xlfn.IFNA(IF($BA23="No",0,IF(INDEX(Constants!J:J,MATCH(($I23/12),Constants!$A:$A,0))=0,0,INDEX(Constants!J:J,MATCH(($I23/12),Constants!$A:$A,0)))),0),"")</f>
        <v>0</v>
      </c>
      <c r="AZ23" s="146">
        <f>IFERROR(_xlfn.IFNA(IF($BA23="No",0,IF(INDEX(Constants!K:K,MATCH(($I23/12),Constants!$A:$A,0))=0,0,INDEX(Constants!K:K,MATCH(($I23/12),Constants!$A:$A,0)))),0),"")</f>
        <v>0</v>
      </c>
      <c r="BA23" s="147" t="str">
        <f>_xlfn.IFNA(INDEX(Producer!$L:$L,MATCH($D23,Producer!$A:$A,0)),"")</f>
        <v>Yes</v>
      </c>
      <c r="BB23" s="146" t="str">
        <f>IFERROR(IF(AQ23=0,"",IF(($I23/12)=15,_xlfn.CONCAT(Constants!$N$7,TEXT(DATE(YEAR(H23)-(($I23/12)-3),MONTH(H23),DAY(H23)),"dd/mm/yyyy"),", ",Constants!$P$7,TEXT(DATE(YEAR(H23)-(($I23/12)-8),MONTH(H23),DAY(H23)),"dd/mm/yyyy"),", ",Constants!$T$7,TEXT(DATE(YEAR(H23)-(($I23/12)-11),MONTH(H23),DAY(H23)),"dd/mm/yyyy"),", ",Constants!$V$7,TEXT(DATE(YEAR(H23)-(($I23/12)-13),MONTH(H23),DAY(H23)),"dd/mm/yyyy"),", ",Constants!$W$7,TEXT($H23,"dd/mm/yyyy")),IF(($I23/12)=10,_xlfn.CONCAT(Constants!$N$6,TEXT(DATE(YEAR(H23)-(($I23/12)-2),MONTH(H23),DAY(H23)),"dd/mm/yyyy"),", ",Constants!$P$6,TEXT(DATE(YEAR(H23)-(($I23/12)-6),MONTH(H23),DAY(H23)),"dd/mm/yyyy"),", ",Constants!$T$6,TEXT(DATE(YEAR(H23)-(($I23/12)-8),MONTH(H23),DAY(H23)),"dd/mm/yyyy"),", ",Constants!$V$6,TEXT(DATE(YEAR(H23)-(($I23/12)-9),MONTH(H23),DAY(H23)),"dd/mm/yyyy"),", ",Constants!$W$6,TEXT($H23,"dd/mm/yyyy")),IF(($I23/12)=5,_xlfn.CONCAT(Constants!$N$5,TEXT(DATE(YEAR(H23)-(($I23/12)-1),MONTH(H23),DAY(H23)),"dd/mm/yyyy"),", ",Constants!$O$5,TEXT(DATE(YEAR(H23)-(($I23/12)-2),MONTH(H23),DAY(H23)),"dd/mm/yyyy"),", ",Constants!$P$5,TEXT(DATE(YEAR(H23)-(($I23/12)-3),MONTH(H23),DAY(H23)),"dd/mm/yyyy"),", ",Constants!$Q$5,TEXT(DATE(YEAR(H23)-(($I23/12)-4),MONTH(H23),DAY(H23)),"dd/mm/yyyy"),", ",Constants!$R$5,TEXT($H23,"dd/mm/yyyy")),IF(($I23/12)=3,_xlfn.CONCAT(Constants!$N$4,TEXT(DATE(YEAR(H23)-(($I23/12)-1),MONTH(H23),DAY(H23)),"dd/mm/yyyy"),", ",Constants!$O$4,TEXT(DATE(YEAR(H23)-(($I23/12)-2),MONTH(H23),DAY(H23)),"dd/mm/yyyy"),", ",Constants!$P$4,TEXT($H23,"dd/mm/yyyy")),IF(($I23/12)=2,_xlfn.CONCAT(Constants!$N$3,TEXT(DATE(YEAR(H23)-(($I23/12)-1),MONTH(H23),DAY(H23)),"dd/mm/yyyy"),", ",Constants!$O$3,TEXT($H23,"dd/mm/yyyy")),IF(($I23/12)=1,_xlfn.CONCAT(Constants!$N$2,TEXT($H23,"dd/mm/yyyy")),"Update Constants"))))))),"")</f>
        <v>2% to 31/12/2025</v>
      </c>
      <c r="BC23" s="147">
        <f>_xlfn.IFNA(VALUE(INDEX(Producer!$K:$K,MATCH($D23,Producer!$A:$A,0))),"")</f>
        <v>0</v>
      </c>
      <c r="BD23" s="147" t="str">
        <f>_xlfn.IFNA(INDEX(Producer!$I:$I,MATCH($D23,Producer!$A:$A,0)),"")</f>
        <v>No</v>
      </c>
      <c r="BE23" s="147" t="str">
        <f t="shared" si="8"/>
        <v>Yes</v>
      </c>
      <c r="BF23" s="147"/>
      <c r="BG23" s="147"/>
      <c r="BH23" s="151">
        <f>_xlfn.IFNA(INDEX(Constants!$B:$B,MATCH(BC23,Constants!A:A,0)),"")</f>
        <v>0</v>
      </c>
      <c r="BI23" s="147" t="str">
        <f>IF(LEFT(B23,15)="Limited Company",Constants!$D$16,IFERROR(_xlfn.IFNA(IF(C23="Residential",IF(BK23&lt;75,INDEX(Constants!$B:$B,MATCH(VALUE(60)/100,Constants!$A:$A,0)),INDEX(Constants!$B:$B,MATCH(VALUE(BK23)/100,Constants!$A:$A,0))),IF(BK23&lt;60,INDEX(Constants!$C:$C,MATCH(VALUE(60)/100,Constants!$A:$A,0)),INDEX(Constants!$C:$C,MATCH(VALUE(BK23)/100,Constants!$A:$A,0)))),""),""))</f>
        <v/>
      </c>
      <c r="BJ23" s="147">
        <f t="shared" si="9"/>
        <v>0</v>
      </c>
      <c r="BK23" s="147">
        <f>_xlfn.IFNA(VALUE(INDEX(Producer!$E:$E,MATCH($D23,Producer!$A:$A,0)))*100,"")</f>
        <v>150</v>
      </c>
      <c r="BL23" s="146" t="str">
        <f>_xlfn.IFNA(IF(IFERROR(FIND("Part &amp; Part",B23),-10)&gt;0,"PP",IF(OR(LEFT(B23,25)="Residential Interest Only",INDEX(Producer!$P:$P,MATCH($D23,Producer!$A:$A,0))="IO",INDEX(Producer!$P:$P,MATCH($D23,Producer!$A:$A,0))="Retirement Interest Only"),"IO",IF($C23="BuyToLet","CI, IO","CI"))),"")</f>
        <v>IO</v>
      </c>
      <c r="BM23" s="152">
        <f>_xlfn.IFNA(IF(BL23="IO",100%,IF(AND(INDEX(Producer!$P:$P,MATCH($D23,Producer!$A:$A,0))="Residential Interest Only Part &amp; Part",BK23=75),80%,IF(C23="BuyToLet",100%,IF(BL23="Interest Only",100%,IF(AND(INDEX(Producer!$P:$P,MATCH($D23,Producer!$A:$A,0))="Residential Interest Only Part &amp; Part",BK23=60),100%,""))))),"")</f>
        <v>1</v>
      </c>
      <c r="BN23" s="218">
        <f>_xlfn.IFNA(IF(VALUE(INDEX(Producer!$H:$H,MATCH($D23,Producer!$A:$A,0)))=0,"",VALUE(INDEX(Producer!$H:$H,MATCH($D23,Producer!$A:$A,0)))),"")</f>
        <v>99</v>
      </c>
      <c r="BO23" s="153"/>
      <c r="BP23" s="153"/>
      <c r="BQ23" s="219">
        <f t="shared" si="10"/>
        <v>35</v>
      </c>
      <c r="BR23" s="146"/>
      <c r="BS23" s="146"/>
      <c r="BT23" s="146"/>
      <c r="BU23" s="146"/>
      <c r="BV23" s="219">
        <f t="shared" si="11"/>
        <v>199</v>
      </c>
      <c r="BW23" s="146"/>
      <c r="BX23" s="146"/>
      <c r="BY23" s="146" t="str">
        <f t="shared" si="12"/>
        <v>No</v>
      </c>
      <c r="BZ23" s="146" t="str">
        <f t="shared" si="13"/>
        <v>No</v>
      </c>
      <c r="CA23" s="146" t="str">
        <f t="shared" si="14"/>
        <v>No</v>
      </c>
      <c r="CB23" s="146" t="str">
        <f t="shared" si="15"/>
        <v>No</v>
      </c>
      <c r="CC23" s="146" t="str">
        <f>_xlfn.IFNA(IF(INDEX(Producer!$P:$P,MATCH($D23,Producer!$A:$A,0))="Help to Buy","Only available","No"),"")</f>
        <v>No</v>
      </c>
      <c r="CD23" s="146" t="str">
        <f>_xlfn.IFNA(IF(INDEX(Producer!$P:$P,MATCH($D23,Producer!$A:$A,0))="Shared Ownership","Only available","No"),"")</f>
        <v>No</v>
      </c>
      <c r="CE23" s="146" t="str">
        <f>_xlfn.IFNA(IF(INDEX(Producer!$P:$P,MATCH($D23,Producer!$A:$A,0))="Right to Buy","Only available","No"),"")</f>
        <v>No</v>
      </c>
      <c r="CF23" s="146" t="str">
        <f t="shared" si="16"/>
        <v>No</v>
      </c>
      <c r="CG23" s="146" t="str">
        <f>_xlfn.IFNA(IF(INDEX(Producer!$P:$P,MATCH($D23,Producer!$A:$A,0))="Retirement Interest Only","Only available","No"),"")</f>
        <v>No</v>
      </c>
      <c r="CH23" s="146" t="str">
        <f t="shared" si="17"/>
        <v>No</v>
      </c>
      <c r="CI23" s="146" t="str">
        <f>_xlfn.IFNA(IF(INDEX(Producer!$P:$P,MATCH($D23,Producer!$A:$A,0))="Intermediary Holiday Let","Only available","No"),"")</f>
        <v>No</v>
      </c>
      <c r="CJ23" s="146" t="str">
        <f t="shared" si="18"/>
        <v>No</v>
      </c>
      <c r="CK23" s="146" t="str">
        <f>_xlfn.IFNA(IF(OR(INDEX(Producer!$P:$P,MATCH($D23,Producer!$A:$A,0))="Intermediary Small HMO",INDEX(Producer!$P:$P,MATCH($D23,Producer!$A:$A,0))="Intermediary Large HMO"),"Only available","No"),"")</f>
        <v>No</v>
      </c>
      <c r="CL23" s="146" t="str">
        <f t="shared" si="19"/>
        <v>No</v>
      </c>
      <c r="CM23" s="146" t="str">
        <f t="shared" si="20"/>
        <v>No</v>
      </c>
      <c r="CN23" s="146" t="str">
        <f t="shared" si="21"/>
        <v>No</v>
      </c>
      <c r="CO23" s="146" t="str">
        <f t="shared" si="22"/>
        <v>No</v>
      </c>
      <c r="CP23" s="146" t="str">
        <f t="shared" si="23"/>
        <v>No</v>
      </c>
      <c r="CQ23" s="146" t="str">
        <f t="shared" si="24"/>
        <v>No</v>
      </c>
      <c r="CR23" s="146" t="str">
        <f t="shared" si="25"/>
        <v>Also available</v>
      </c>
      <c r="CS23" s="146" t="str">
        <f t="shared" si="26"/>
        <v>Only available</v>
      </c>
      <c r="CT23" s="146" t="str">
        <f t="shared" si="27"/>
        <v>No</v>
      </c>
      <c r="CU23" s="146"/>
    </row>
    <row r="24" spans="1:99" ht="16.399999999999999" customHeight="1" x14ac:dyDescent="0.35">
      <c r="A24" s="145" t="str">
        <f t="shared" si="0"/>
        <v>Leeds Building Society</v>
      </c>
      <c r="B24" s="145" t="str">
        <f>_xlfn.IFNA(_xlfn.CONCAT(INDEX(Producer!$P:$P,MATCH($D24,Producer!$A:$A,0))," ",IF(INDEX(Producer!$N:$N,MATCH($D24,Producer!$A:$A,0))="Yes","Green ",""),IF(AND(INDEX(Producer!$L:$L,MATCH($D24,Producer!$A:$A,0))="No",INDEX(Producer!$C:$C,MATCH($D24,Producer!$A:$A,0))="Fixed"),"Flexit ",""),INDEX(Producer!$B:$B,MATCH($D24,Producer!$A:$A,0))," Year ",INDEX(Producer!$C:$C,MATCH($D24,Producer!$A:$A,0))," ",VALUE(INDEX(Producer!$E:$E,MATCH($D24,Producer!$A:$A,0)))*100,"% LTV",IF(INDEX(Producer!$N:$N,MATCH($D24,Producer!$A:$A,0))="Yes"," (EPC A-C)","")," - ",IF(INDEX(Producer!$D:$D,MATCH($D24,Producer!$A:$A,0))="DLY","Daily","Annual")),"")</f>
        <v>Residential Interest Only 2 Year Fixed 65% LTV - Daily</v>
      </c>
      <c r="C24" s="146" t="str">
        <f>_xlfn.IFNA(INDEX(Producer!$Q:$Q,MATCH($D24,Producer!$A:$A,0)),"")</f>
        <v>Residential</v>
      </c>
      <c r="D24" s="146">
        <f>IFERROR(VALUE(MID(Producer!$R$2,IF($D23="",1/0,FIND(_xlfn.CONCAT($D22,$D23),Producer!$R$2)+10),5)),"")</f>
        <v>54197</v>
      </c>
      <c r="E24" s="146" t="str">
        <f t="shared" si="1"/>
        <v>Stepped Fixed</v>
      </c>
      <c r="F24" s="146"/>
      <c r="G24" s="147">
        <f>_xlfn.IFNA(VALUE(INDEX(Producer!$F:$F,MATCH($D24,Producer!$A:$A,0)))*100,"")</f>
        <v>4.54</v>
      </c>
      <c r="H24" s="216">
        <f>_xlfn.IFNA(IFERROR(DATEVALUE(INDEX(Producer!$M:$M,MATCH($D24,Producer!$A:$A,0))),(INDEX(Producer!$M:$M,MATCH($D24,Producer!$A:$A,0)))),"")</f>
        <v>46418</v>
      </c>
      <c r="I24" s="217">
        <f>_xlfn.IFNA(VALUE(INDEX(Producer!$B:$B,MATCH($D24,Producer!$A:$A,0)))*12,"")</f>
        <v>24</v>
      </c>
      <c r="J24" s="146">
        <f>_xlfn.IFNA(IF(C24="Residential",IF(VALUE(INDEX(Producer!$B:$B,MATCH($D24,Producer!$A:$A,0)))&lt;5,Constants!$C$10,""),IF(VALUE(INDEX(Producer!$B:$B,MATCH($D24,Producer!$A:$A,0)))&lt;5,Constants!$C$11,"")),"")</f>
        <v>7.49</v>
      </c>
      <c r="K24" s="216">
        <f>_xlfn.IFNA(IF(($I24)&lt;60,DATE(YEAR(H24)+(5-VALUE(INDEX(Producer!$B:$B,MATCH($D24,Producer!$A:$A,0)))),MONTH(H24),DAY(H24)),""),"")</f>
        <v>47514</v>
      </c>
      <c r="L24" s="153">
        <f t="shared" si="2"/>
        <v>36</v>
      </c>
      <c r="M24" s="146"/>
      <c r="N24" s="148"/>
      <c r="O24" s="148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>
        <f>IF(D24="","",IF(C24="Residential",Constants!$B$10,Constants!$B$11))</f>
        <v>8.24</v>
      </c>
      <c r="AL24" s="146" t="str">
        <f t="shared" si="3"/>
        <v>SVR</v>
      </c>
      <c r="AM24" s="206" t="str">
        <f t="shared" si="4"/>
        <v/>
      </c>
      <c r="AN24" s="146">
        <f t="shared" si="5"/>
        <v>10</v>
      </c>
      <c r="AO24" s="149" t="str">
        <f t="shared" si="6"/>
        <v>Remortgage</v>
      </c>
      <c r="AP24" s="150" t="str">
        <f t="shared" si="7"/>
        <v>ProductTransfer</v>
      </c>
      <c r="AQ24" s="146">
        <f>IFERROR(_xlfn.IFNA(IF($BA24="No",0,IF(INDEX(Constants!B:B,MATCH(($I24/12),Constants!$A:$A,0))=0,0,INDEX(Constants!B:B,MATCH(($I24/12),Constants!$A:$A,0)))),0),"")</f>
        <v>2.5</v>
      </c>
      <c r="AR24" s="146">
        <f>IFERROR(_xlfn.IFNA(IF($BA24="No",0,IF(INDEX(Constants!C:C,MATCH(($I24/12),Constants!$A:$A,0))=0,0,INDEX(Constants!C:C,MATCH(($I24/12),Constants!$A:$A,0)))),0),"")</f>
        <v>1.5</v>
      </c>
      <c r="AS24" s="146">
        <f>IFERROR(_xlfn.IFNA(IF($BA24="No",0,IF(INDEX(Constants!D:D,MATCH(($I24/12),Constants!$A:$A,0))=0,0,INDEX(Constants!D:D,MATCH(($I24/12),Constants!$A:$A,0)))),0),"")</f>
        <v>0</v>
      </c>
      <c r="AT24" s="146">
        <f>IFERROR(_xlfn.IFNA(IF($BA24="No",0,IF(INDEX(Constants!E:E,MATCH(($I24/12),Constants!$A:$A,0))=0,0,INDEX(Constants!E:E,MATCH(($I24/12),Constants!$A:$A,0)))),0),"")</f>
        <v>0</v>
      </c>
      <c r="AU24" s="146">
        <f>IFERROR(_xlfn.IFNA(IF($BA24="No",0,IF(INDEX(Constants!F:F,MATCH(($I24/12),Constants!$A:$A,0))=0,0,INDEX(Constants!F:F,MATCH(($I24/12),Constants!$A:$A,0)))),0),"")</f>
        <v>0</v>
      </c>
      <c r="AV24" s="146">
        <f>IFERROR(_xlfn.IFNA(IF($BA24="No",0,IF(INDEX(Constants!G:G,MATCH(($I24/12),Constants!$A:$A,0))=0,0,INDEX(Constants!G:G,MATCH(($I24/12),Constants!$A:$A,0)))),0),"")</f>
        <v>0</v>
      </c>
      <c r="AW24" s="146">
        <f>IFERROR(_xlfn.IFNA(IF($BA24="No",0,IF(INDEX(Constants!H:H,MATCH(($I24/12),Constants!$A:$A,0))=0,0,INDEX(Constants!H:H,MATCH(($I24/12),Constants!$A:$A,0)))),0),"")</f>
        <v>0</v>
      </c>
      <c r="AX24" s="146">
        <f>IFERROR(_xlfn.IFNA(IF($BA24="No",0,IF(INDEX(Constants!I:I,MATCH(($I24/12),Constants!$A:$A,0))=0,0,INDEX(Constants!I:I,MATCH(($I24/12),Constants!$A:$A,0)))),0),"")</f>
        <v>0</v>
      </c>
      <c r="AY24" s="146">
        <f>IFERROR(_xlfn.IFNA(IF($BA24="No",0,IF(INDEX(Constants!J:J,MATCH(($I24/12),Constants!$A:$A,0))=0,0,INDEX(Constants!J:J,MATCH(($I24/12),Constants!$A:$A,0)))),0),"")</f>
        <v>0</v>
      </c>
      <c r="AZ24" s="146">
        <f>IFERROR(_xlfn.IFNA(IF($BA24="No",0,IF(INDEX(Constants!K:K,MATCH(($I24/12),Constants!$A:$A,0))=0,0,INDEX(Constants!K:K,MATCH(($I24/12),Constants!$A:$A,0)))),0),"")</f>
        <v>0</v>
      </c>
      <c r="BA24" s="147" t="str">
        <f>_xlfn.IFNA(INDEX(Producer!$L:$L,MATCH($D24,Producer!$A:$A,0)),"")</f>
        <v>Yes</v>
      </c>
      <c r="BB24" s="146" t="str">
        <f>IFERROR(IF(AQ24=0,"",IF(($I24/12)=15,_xlfn.CONCAT(Constants!$N$7,TEXT(DATE(YEAR(H24)-(($I24/12)-3),MONTH(H24),DAY(H24)),"dd/mm/yyyy"),", ",Constants!$P$7,TEXT(DATE(YEAR(H24)-(($I24/12)-8),MONTH(H24),DAY(H24)),"dd/mm/yyyy"),", ",Constants!$T$7,TEXT(DATE(YEAR(H24)-(($I24/12)-11),MONTH(H24),DAY(H24)),"dd/mm/yyyy"),", ",Constants!$V$7,TEXT(DATE(YEAR(H24)-(($I24/12)-13),MONTH(H24),DAY(H24)),"dd/mm/yyyy"),", ",Constants!$W$7,TEXT($H24,"dd/mm/yyyy")),IF(($I24/12)=10,_xlfn.CONCAT(Constants!$N$6,TEXT(DATE(YEAR(H24)-(($I24/12)-2),MONTH(H24),DAY(H24)),"dd/mm/yyyy"),", ",Constants!$P$6,TEXT(DATE(YEAR(H24)-(($I24/12)-6),MONTH(H24),DAY(H24)),"dd/mm/yyyy"),", ",Constants!$T$6,TEXT(DATE(YEAR(H24)-(($I24/12)-8),MONTH(H24),DAY(H24)),"dd/mm/yyyy"),", ",Constants!$V$6,TEXT(DATE(YEAR(H24)-(($I24/12)-9),MONTH(H24),DAY(H24)),"dd/mm/yyyy"),", ",Constants!$W$6,TEXT($H24,"dd/mm/yyyy")),IF(($I24/12)=5,_xlfn.CONCAT(Constants!$N$5,TEXT(DATE(YEAR(H24)-(($I24/12)-1),MONTH(H24),DAY(H24)),"dd/mm/yyyy"),", ",Constants!$O$5,TEXT(DATE(YEAR(H24)-(($I24/12)-2),MONTH(H24),DAY(H24)),"dd/mm/yyyy"),", ",Constants!$P$5,TEXT(DATE(YEAR(H24)-(($I24/12)-3),MONTH(H24),DAY(H24)),"dd/mm/yyyy"),", ",Constants!$Q$5,TEXT(DATE(YEAR(H24)-(($I24/12)-4),MONTH(H24),DAY(H24)),"dd/mm/yyyy"),", ",Constants!$R$5,TEXT($H24,"dd/mm/yyyy")),IF(($I24/12)=3,_xlfn.CONCAT(Constants!$N$4,TEXT(DATE(YEAR(H24)-(($I24/12)-1),MONTH(H24),DAY(H24)),"dd/mm/yyyy"),", ",Constants!$O$4,TEXT(DATE(YEAR(H24)-(($I24/12)-2),MONTH(H24),DAY(H24)),"dd/mm/yyyy"),", ",Constants!$P$4,TEXT($H24,"dd/mm/yyyy")),IF(($I24/12)=2,_xlfn.CONCAT(Constants!$N$3,TEXT(DATE(YEAR(H24)-(($I24/12)-1),MONTH(H24),DAY(H24)),"dd/mm/yyyy"),", ",Constants!$O$3,TEXT($H24,"dd/mm/yyyy")),IF(($I24/12)=1,_xlfn.CONCAT(Constants!$N$2,TEXT($H24,"dd/mm/yyyy")),"Update Constants"))))))),"")</f>
        <v>2.5% to 31/01/2026, 1.5% to 31/01/2027</v>
      </c>
      <c r="BC24" s="147">
        <f>_xlfn.IFNA(VALUE(INDEX(Producer!$K:$K,MATCH($D24,Producer!$A:$A,0))),"")</f>
        <v>0</v>
      </c>
      <c r="BD24" s="147" t="str">
        <f>_xlfn.IFNA(INDEX(Producer!$I:$I,MATCH($D24,Producer!$A:$A,0)),"")</f>
        <v>No</v>
      </c>
      <c r="BE24" s="147" t="str">
        <f t="shared" si="8"/>
        <v>Yes</v>
      </c>
      <c r="BF24" s="147"/>
      <c r="BG24" s="147"/>
      <c r="BH24" s="151">
        <f>_xlfn.IFNA(INDEX(Constants!$B:$B,MATCH(BC24,Constants!A:A,0)),"")</f>
        <v>0</v>
      </c>
      <c r="BI24" s="147">
        <f>IF(LEFT(B24,15)="Limited Company",Constants!$D$16,IFERROR(_xlfn.IFNA(IF(C24="Residential",IF(BK24&lt;75,INDEX(Constants!$B:$B,MATCH(VALUE(60)/100,Constants!$A:$A,0)),INDEX(Constants!$B:$B,MATCH(VALUE(BK24)/100,Constants!$A:$A,0))),IF(BK24&lt;60,INDEX(Constants!$C:$C,MATCH(VALUE(60)/100,Constants!$A:$A,0)),INDEX(Constants!$C:$C,MATCH(VALUE(BK24)/100,Constants!$A:$A,0)))),""),""))</f>
        <v>2000000</v>
      </c>
      <c r="BJ24" s="147">
        <f t="shared" si="9"/>
        <v>0</v>
      </c>
      <c r="BK24" s="147">
        <f>_xlfn.IFNA(VALUE(INDEX(Producer!$E:$E,MATCH($D24,Producer!$A:$A,0)))*100,"")</f>
        <v>65</v>
      </c>
      <c r="BL24" s="146" t="str">
        <f>_xlfn.IFNA(IF(IFERROR(FIND("Part &amp; Part",B24),-10)&gt;0,"PP",IF(OR(LEFT(B24,25)="Residential Interest Only",INDEX(Producer!$P:$P,MATCH($D24,Producer!$A:$A,0))="IO",INDEX(Producer!$P:$P,MATCH($D24,Producer!$A:$A,0))="Retirement Interest Only"),"IO",IF($C24="BuyToLet","CI, IO","CI"))),"")</f>
        <v>IO</v>
      </c>
      <c r="BM24" s="152">
        <f>_xlfn.IFNA(IF(BL24="IO",100%,IF(AND(INDEX(Producer!$P:$P,MATCH($D24,Producer!$A:$A,0))="Residential Interest Only Part &amp; Part",BK24=75),80%,IF(C24="BuyToLet",100%,IF(BL24="Interest Only",100%,IF(AND(INDEX(Producer!$P:$P,MATCH($D24,Producer!$A:$A,0))="Residential Interest Only Part &amp; Part",BK24=60),100%,""))))),"")</f>
        <v>1</v>
      </c>
      <c r="BN24" s="218">
        <f>_xlfn.IFNA(IF(VALUE(INDEX(Producer!$H:$H,MATCH($D24,Producer!$A:$A,0)))=0,"",VALUE(INDEX(Producer!$H:$H,MATCH($D24,Producer!$A:$A,0)))),"")</f>
        <v>1899</v>
      </c>
      <c r="BO24" s="153"/>
      <c r="BP24" s="153"/>
      <c r="BQ24" s="219">
        <f t="shared" si="10"/>
        <v>35</v>
      </c>
      <c r="BR24" s="146"/>
      <c r="BS24" s="146"/>
      <c r="BT24" s="146"/>
      <c r="BU24" s="146"/>
      <c r="BV24" s="219">
        <f t="shared" si="11"/>
        <v>199</v>
      </c>
      <c r="BW24" s="146"/>
      <c r="BX24" s="146"/>
      <c r="BY24" s="146" t="str">
        <f t="shared" si="12"/>
        <v>No</v>
      </c>
      <c r="BZ24" s="146" t="str">
        <f t="shared" si="13"/>
        <v>No</v>
      </c>
      <c r="CA24" s="146" t="str">
        <f t="shared" si="14"/>
        <v>No</v>
      </c>
      <c r="CB24" s="146" t="str">
        <f t="shared" si="15"/>
        <v>No</v>
      </c>
      <c r="CC24" s="146" t="str">
        <f>_xlfn.IFNA(IF(INDEX(Producer!$P:$P,MATCH($D24,Producer!$A:$A,0))="Help to Buy","Only available","No"),"")</f>
        <v>No</v>
      </c>
      <c r="CD24" s="146" t="str">
        <f>_xlfn.IFNA(IF(INDEX(Producer!$P:$P,MATCH($D24,Producer!$A:$A,0))="Shared Ownership","Only available","No"),"")</f>
        <v>No</v>
      </c>
      <c r="CE24" s="146" t="str">
        <f>_xlfn.IFNA(IF(INDEX(Producer!$P:$P,MATCH($D24,Producer!$A:$A,0))="Right to Buy","Only available","No"),"")</f>
        <v>No</v>
      </c>
      <c r="CF24" s="146" t="str">
        <f t="shared" si="16"/>
        <v>No</v>
      </c>
      <c r="CG24" s="146" t="str">
        <f>_xlfn.IFNA(IF(INDEX(Producer!$P:$P,MATCH($D24,Producer!$A:$A,0))="Retirement Interest Only","Only available","No"),"")</f>
        <v>No</v>
      </c>
      <c r="CH24" s="146" t="str">
        <f t="shared" si="17"/>
        <v>No</v>
      </c>
      <c r="CI24" s="146" t="str">
        <f>_xlfn.IFNA(IF(INDEX(Producer!$P:$P,MATCH($D24,Producer!$A:$A,0))="Intermediary Holiday Let","Only available","No"),"")</f>
        <v>No</v>
      </c>
      <c r="CJ24" s="146" t="str">
        <f t="shared" si="18"/>
        <v>No</v>
      </c>
      <c r="CK24" s="146" t="str">
        <f>_xlfn.IFNA(IF(OR(INDEX(Producer!$P:$P,MATCH($D24,Producer!$A:$A,0))="Intermediary Small HMO",INDEX(Producer!$P:$P,MATCH($D24,Producer!$A:$A,0))="Intermediary Large HMO"),"Only available","No"),"")</f>
        <v>No</v>
      </c>
      <c r="CL24" s="146" t="str">
        <f t="shared" si="19"/>
        <v>No</v>
      </c>
      <c r="CM24" s="146" t="str">
        <f t="shared" si="20"/>
        <v>No</v>
      </c>
      <c r="CN24" s="146" t="str">
        <f t="shared" si="21"/>
        <v>No</v>
      </c>
      <c r="CO24" s="146" t="str">
        <f t="shared" si="22"/>
        <v>Also available</v>
      </c>
      <c r="CP24" s="146" t="str">
        <f t="shared" si="23"/>
        <v>No</v>
      </c>
      <c r="CQ24" s="146" t="str">
        <f t="shared" si="24"/>
        <v>No</v>
      </c>
      <c r="CR24" s="146" t="str">
        <f t="shared" si="25"/>
        <v>Also available</v>
      </c>
      <c r="CS24" s="146" t="str">
        <f t="shared" si="26"/>
        <v>Only available</v>
      </c>
      <c r="CT24" s="146" t="str">
        <f t="shared" si="27"/>
        <v>No</v>
      </c>
      <c r="CU24" s="146"/>
    </row>
    <row r="25" spans="1:99" ht="16.399999999999999" customHeight="1" x14ac:dyDescent="0.35">
      <c r="A25" s="145" t="str">
        <f t="shared" si="0"/>
        <v>Leeds Building Society</v>
      </c>
      <c r="B25" s="145" t="str">
        <f>_xlfn.IFNA(_xlfn.CONCAT(INDEX(Producer!$P:$P,MATCH($D25,Producer!$A:$A,0))," ",IF(INDEX(Producer!$N:$N,MATCH($D25,Producer!$A:$A,0))="Yes","Green ",""),IF(AND(INDEX(Producer!$L:$L,MATCH($D25,Producer!$A:$A,0))="No",INDEX(Producer!$C:$C,MATCH($D25,Producer!$A:$A,0))="Fixed"),"Flexit ",""),INDEX(Producer!$B:$B,MATCH($D25,Producer!$A:$A,0))," Year ",INDEX(Producer!$C:$C,MATCH($D25,Producer!$A:$A,0))," ",VALUE(INDEX(Producer!$E:$E,MATCH($D25,Producer!$A:$A,0)))*100,"% LTV",IF(INDEX(Producer!$N:$N,MATCH($D25,Producer!$A:$A,0))="Yes"," (EPC A-C)","")," - ",IF(INDEX(Producer!$D:$D,MATCH($D25,Producer!$A:$A,0))="DLY","Daily","Annual")),"")</f>
        <v>Residential Interest Only 2 Year Fixed 65% LTV - Daily</v>
      </c>
      <c r="C25" s="146" t="str">
        <f>_xlfn.IFNA(INDEX(Producer!$Q:$Q,MATCH($D25,Producer!$A:$A,0)),"")</f>
        <v>Residential</v>
      </c>
      <c r="D25" s="146">
        <f>IFERROR(VALUE(MID(Producer!$R$2,IF($D24="",1/0,FIND(_xlfn.CONCAT($D23,$D24),Producer!$R$2)+10),5)),"")</f>
        <v>54193</v>
      </c>
      <c r="E25" s="146" t="str">
        <f t="shared" si="1"/>
        <v>Stepped Fixed</v>
      </c>
      <c r="F25" s="146"/>
      <c r="G25" s="147">
        <f>_xlfn.IFNA(VALUE(INDEX(Producer!$F:$F,MATCH($D25,Producer!$A:$A,0)))*100,"")</f>
        <v>4.74</v>
      </c>
      <c r="H25" s="216">
        <f>_xlfn.IFNA(IFERROR(DATEVALUE(INDEX(Producer!$M:$M,MATCH($D25,Producer!$A:$A,0))),(INDEX(Producer!$M:$M,MATCH($D25,Producer!$A:$A,0)))),"")</f>
        <v>46418</v>
      </c>
      <c r="I25" s="217">
        <f>_xlfn.IFNA(VALUE(INDEX(Producer!$B:$B,MATCH($D25,Producer!$A:$A,0)))*12,"")</f>
        <v>24</v>
      </c>
      <c r="J25" s="146">
        <f>_xlfn.IFNA(IF(C25="Residential",IF(VALUE(INDEX(Producer!$B:$B,MATCH($D25,Producer!$A:$A,0)))&lt;5,Constants!$C$10,""),IF(VALUE(INDEX(Producer!$B:$B,MATCH($D25,Producer!$A:$A,0)))&lt;5,Constants!$C$11,"")),"")</f>
        <v>7.49</v>
      </c>
      <c r="K25" s="216">
        <f>_xlfn.IFNA(IF(($I25)&lt;60,DATE(YEAR(H25)+(5-VALUE(INDEX(Producer!$B:$B,MATCH($D25,Producer!$A:$A,0)))),MONTH(H25),DAY(H25)),""),"")</f>
        <v>47514</v>
      </c>
      <c r="L25" s="153">
        <f t="shared" si="2"/>
        <v>36</v>
      </c>
      <c r="M25" s="146"/>
      <c r="N25" s="148"/>
      <c r="O25" s="148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>
        <f>IF(D25="","",IF(C25="Residential",Constants!$B$10,Constants!$B$11))</f>
        <v>8.24</v>
      </c>
      <c r="AL25" s="146" t="str">
        <f t="shared" si="3"/>
        <v>SVR</v>
      </c>
      <c r="AM25" s="206" t="str">
        <f t="shared" si="4"/>
        <v/>
      </c>
      <c r="AN25" s="146">
        <f t="shared" si="5"/>
        <v>10</v>
      </c>
      <c r="AO25" s="149" t="str">
        <f t="shared" si="6"/>
        <v>Remortgage</v>
      </c>
      <c r="AP25" s="150" t="str">
        <f t="shared" si="7"/>
        <v>ProductTransfer</v>
      </c>
      <c r="AQ25" s="146">
        <f>IFERROR(_xlfn.IFNA(IF($BA25="No",0,IF(INDEX(Constants!B:B,MATCH(($I25/12),Constants!$A:$A,0))=0,0,INDEX(Constants!B:B,MATCH(($I25/12),Constants!$A:$A,0)))),0),"")</f>
        <v>2.5</v>
      </c>
      <c r="AR25" s="146">
        <f>IFERROR(_xlfn.IFNA(IF($BA25="No",0,IF(INDEX(Constants!C:C,MATCH(($I25/12),Constants!$A:$A,0))=0,0,INDEX(Constants!C:C,MATCH(($I25/12),Constants!$A:$A,0)))),0),"")</f>
        <v>1.5</v>
      </c>
      <c r="AS25" s="146">
        <f>IFERROR(_xlfn.IFNA(IF($BA25="No",0,IF(INDEX(Constants!D:D,MATCH(($I25/12),Constants!$A:$A,0))=0,0,INDEX(Constants!D:D,MATCH(($I25/12),Constants!$A:$A,0)))),0),"")</f>
        <v>0</v>
      </c>
      <c r="AT25" s="146">
        <f>IFERROR(_xlfn.IFNA(IF($BA25="No",0,IF(INDEX(Constants!E:E,MATCH(($I25/12),Constants!$A:$A,0))=0,0,INDEX(Constants!E:E,MATCH(($I25/12),Constants!$A:$A,0)))),0),"")</f>
        <v>0</v>
      </c>
      <c r="AU25" s="146">
        <f>IFERROR(_xlfn.IFNA(IF($BA25="No",0,IF(INDEX(Constants!F:F,MATCH(($I25/12),Constants!$A:$A,0))=0,0,INDEX(Constants!F:F,MATCH(($I25/12),Constants!$A:$A,0)))),0),"")</f>
        <v>0</v>
      </c>
      <c r="AV25" s="146">
        <f>IFERROR(_xlfn.IFNA(IF($BA25="No",0,IF(INDEX(Constants!G:G,MATCH(($I25/12),Constants!$A:$A,0))=0,0,INDEX(Constants!G:G,MATCH(($I25/12),Constants!$A:$A,0)))),0),"")</f>
        <v>0</v>
      </c>
      <c r="AW25" s="146">
        <f>IFERROR(_xlfn.IFNA(IF($BA25="No",0,IF(INDEX(Constants!H:H,MATCH(($I25/12),Constants!$A:$A,0))=0,0,INDEX(Constants!H:H,MATCH(($I25/12),Constants!$A:$A,0)))),0),"")</f>
        <v>0</v>
      </c>
      <c r="AX25" s="146">
        <f>IFERROR(_xlfn.IFNA(IF($BA25="No",0,IF(INDEX(Constants!I:I,MATCH(($I25/12),Constants!$A:$A,0))=0,0,INDEX(Constants!I:I,MATCH(($I25/12),Constants!$A:$A,0)))),0),"")</f>
        <v>0</v>
      </c>
      <c r="AY25" s="146">
        <f>IFERROR(_xlfn.IFNA(IF($BA25="No",0,IF(INDEX(Constants!J:J,MATCH(($I25/12),Constants!$A:$A,0))=0,0,INDEX(Constants!J:J,MATCH(($I25/12),Constants!$A:$A,0)))),0),"")</f>
        <v>0</v>
      </c>
      <c r="AZ25" s="146">
        <f>IFERROR(_xlfn.IFNA(IF($BA25="No",0,IF(INDEX(Constants!K:K,MATCH(($I25/12),Constants!$A:$A,0))=0,0,INDEX(Constants!K:K,MATCH(($I25/12),Constants!$A:$A,0)))),0),"")</f>
        <v>0</v>
      </c>
      <c r="BA25" s="147" t="str">
        <f>_xlfn.IFNA(INDEX(Producer!$L:$L,MATCH($D25,Producer!$A:$A,0)),"")</f>
        <v>Yes</v>
      </c>
      <c r="BB25" s="146" t="str">
        <f>IFERROR(IF(AQ25=0,"",IF(($I25/12)=15,_xlfn.CONCAT(Constants!$N$7,TEXT(DATE(YEAR(H25)-(($I25/12)-3),MONTH(H25),DAY(H25)),"dd/mm/yyyy"),", ",Constants!$P$7,TEXT(DATE(YEAR(H25)-(($I25/12)-8),MONTH(H25),DAY(H25)),"dd/mm/yyyy"),", ",Constants!$T$7,TEXT(DATE(YEAR(H25)-(($I25/12)-11),MONTH(H25),DAY(H25)),"dd/mm/yyyy"),", ",Constants!$V$7,TEXT(DATE(YEAR(H25)-(($I25/12)-13),MONTH(H25),DAY(H25)),"dd/mm/yyyy"),", ",Constants!$W$7,TEXT($H25,"dd/mm/yyyy")),IF(($I25/12)=10,_xlfn.CONCAT(Constants!$N$6,TEXT(DATE(YEAR(H25)-(($I25/12)-2),MONTH(H25),DAY(H25)),"dd/mm/yyyy"),", ",Constants!$P$6,TEXT(DATE(YEAR(H25)-(($I25/12)-6),MONTH(H25),DAY(H25)),"dd/mm/yyyy"),", ",Constants!$T$6,TEXT(DATE(YEAR(H25)-(($I25/12)-8),MONTH(H25),DAY(H25)),"dd/mm/yyyy"),", ",Constants!$V$6,TEXT(DATE(YEAR(H25)-(($I25/12)-9),MONTH(H25),DAY(H25)),"dd/mm/yyyy"),", ",Constants!$W$6,TEXT($H25,"dd/mm/yyyy")),IF(($I25/12)=5,_xlfn.CONCAT(Constants!$N$5,TEXT(DATE(YEAR(H25)-(($I25/12)-1),MONTH(H25),DAY(H25)),"dd/mm/yyyy"),", ",Constants!$O$5,TEXT(DATE(YEAR(H25)-(($I25/12)-2),MONTH(H25),DAY(H25)),"dd/mm/yyyy"),", ",Constants!$P$5,TEXT(DATE(YEAR(H25)-(($I25/12)-3),MONTH(H25),DAY(H25)),"dd/mm/yyyy"),", ",Constants!$Q$5,TEXT(DATE(YEAR(H25)-(($I25/12)-4),MONTH(H25),DAY(H25)),"dd/mm/yyyy"),", ",Constants!$R$5,TEXT($H25,"dd/mm/yyyy")),IF(($I25/12)=3,_xlfn.CONCAT(Constants!$N$4,TEXT(DATE(YEAR(H25)-(($I25/12)-1),MONTH(H25),DAY(H25)),"dd/mm/yyyy"),", ",Constants!$O$4,TEXT(DATE(YEAR(H25)-(($I25/12)-2),MONTH(H25),DAY(H25)),"dd/mm/yyyy"),", ",Constants!$P$4,TEXT($H25,"dd/mm/yyyy")),IF(($I25/12)=2,_xlfn.CONCAT(Constants!$N$3,TEXT(DATE(YEAR(H25)-(($I25/12)-1),MONTH(H25),DAY(H25)),"dd/mm/yyyy"),", ",Constants!$O$3,TEXT($H25,"dd/mm/yyyy")),IF(($I25/12)=1,_xlfn.CONCAT(Constants!$N$2,TEXT($H25,"dd/mm/yyyy")),"Update Constants"))))))),"")</f>
        <v>2.5% to 31/01/2026, 1.5% to 31/01/2027</v>
      </c>
      <c r="BC25" s="147">
        <f>_xlfn.IFNA(VALUE(INDEX(Producer!$K:$K,MATCH($D25,Producer!$A:$A,0))),"")</f>
        <v>0</v>
      </c>
      <c r="BD25" s="147" t="str">
        <f>_xlfn.IFNA(INDEX(Producer!$I:$I,MATCH($D25,Producer!$A:$A,0)),"")</f>
        <v>No</v>
      </c>
      <c r="BE25" s="147" t="str">
        <f t="shared" si="8"/>
        <v>Yes</v>
      </c>
      <c r="BF25" s="147"/>
      <c r="BG25" s="147"/>
      <c r="BH25" s="151">
        <f>_xlfn.IFNA(INDEX(Constants!$B:$B,MATCH(BC25,Constants!A:A,0)),"")</f>
        <v>0</v>
      </c>
      <c r="BI25" s="147">
        <f>IF(LEFT(B25,15)="Limited Company",Constants!$D$16,IFERROR(_xlfn.IFNA(IF(C25="Residential",IF(BK25&lt;75,INDEX(Constants!$B:$B,MATCH(VALUE(60)/100,Constants!$A:$A,0)),INDEX(Constants!$B:$B,MATCH(VALUE(BK25)/100,Constants!$A:$A,0))),IF(BK25&lt;60,INDEX(Constants!$C:$C,MATCH(VALUE(60)/100,Constants!$A:$A,0)),INDEX(Constants!$C:$C,MATCH(VALUE(BK25)/100,Constants!$A:$A,0)))),""),""))</f>
        <v>2000000</v>
      </c>
      <c r="BJ25" s="147">
        <f t="shared" si="9"/>
        <v>0</v>
      </c>
      <c r="BK25" s="147">
        <f>_xlfn.IFNA(VALUE(INDEX(Producer!$E:$E,MATCH($D25,Producer!$A:$A,0)))*100,"")</f>
        <v>65</v>
      </c>
      <c r="BL25" s="146" t="str">
        <f>_xlfn.IFNA(IF(IFERROR(FIND("Part &amp; Part",B25),-10)&gt;0,"PP",IF(OR(LEFT(B25,25)="Residential Interest Only",INDEX(Producer!$P:$P,MATCH($D25,Producer!$A:$A,0))="IO",INDEX(Producer!$P:$P,MATCH($D25,Producer!$A:$A,0))="Retirement Interest Only"),"IO",IF($C25="BuyToLet","CI, IO","CI"))),"")</f>
        <v>IO</v>
      </c>
      <c r="BM25" s="152">
        <f>_xlfn.IFNA(IF(BL25="IO",100%,IF(AND(INDEX(Producer!$P:$P,MATCH($D25,Producer!$A:$A,0))="Residential Interest Only Part &amp; Part",BK25=75),80%,IF(C25="BuyToLet",100%,IF(BL25="Interest Only",100%,IF(AND(INDEX(Producer!$P:$P,MATCH($D25,Producer!$A:$A,0))="Residential Interest Only Part &amp; Part",BK25=60),100%,""))))),"")</f>
        <v>1</v>
      </c>
      <c r="BN25" s="218">
        <f>_xlfn.IFNA(IF(VALUE(INDEX(Producer!$H:$H,MATCH($D25,Producer!$A:$A,0)))=0,"",VALUE(INDEX(Producer!$H:$H,MATCH($D25,Producer!$A:$A,0)))),"")</f>
        <v>999</v>
      </c>
      <c r="BO25" s="153"/>
      <c r="BP25" s="153"/>
      <c r="BQ25" s="219">
        <f t="shared" si="10"/>
        <v>35</v>
      </c>
      <c r="BR25" s="146"/>
      <c r="BS25" s="146"/>
      <c r="BT25" s="146"/>
      <c r="BU25" s="146"/>
      <c r="BV25" s="219">
        <f t="shared" si="11"/>
        <v>199</v>
      </c>
      <c r="BW25" s="146"/>
      <c r="BX25" s="146"/>
      <c r="BY25" s="146" t="str">
        <f t="shared" si="12"/>
        <v>No</v>
      </c>
      <c r="BZ25" s="146" t="str">
        <f t="shared" si="13"/>
        <v>No</v>
      </c>
      <c r="CA25" s="146" t="str">
        <f t="shared" si="14"/>
        <v>No</v>
      </c>
      <c r="CB25" s="146" t="str">
        <f t="shared" si="15"/>
        <v>No</v>
      </c>
      <c r="CC25" s="146" t="str">
        <f>_xlfn.IFNA(IF(INDEX(Producer!$P:$P,MATCH($D25,Producer!$A:$A,0))="Help to Buy","Only available","No"),"")</f>
        <v>No</v>
      </c>
      <c r="CD25" s="146" t="str">
        <f>_xlfn.IFNA(IF(INDEX(Producer!$P:$P,MATCH($D25,Producer!$A:$A,0))="Shared Ownership","Only available","No"),"")</f>
        <v>No</v>
      </c>
      <c r="CE25" s="146" t="str">
        <f>_xlfn.IFNA(IF(INDEX(Producer!$P:$P,MATCH($D25,Producer!$A:$A,0))="Right to Buy","Only available","No"),"")</f>
        <v>No</v>
      </c>
      <c r="CF25" s="146" t="str">
        <f t="shared" si="16"/>
        <v>No</v>
      </c>
      <c r="CG25" s="146" t="str">
        <f>_xlfn.IFNA(IF(INDEX(Producer!$P:$P,MATCH($D25,Producer!$A:$A,0))="Retirement Interest Only","Only available","No"),"")</f>
        <v>No</v>
      </c>
      <c r="CH25" s="146" t="str">
        <f t="shared" si="17"/>
        <v>No</v>
      </c>
      <c r="CI25" s="146" t="str">
        <f>_xlfn.IFNA(IF(INDEX(Producer!$P:$P,MATCH($D25,Producer!$A:$A,0))="Intermediary Holiday Let","Only available","No"),"")</f>
        <v>No</v>
      </c>
      <c r="CJ25" s="146" t="str">
        <f t="shared" si="18"/>
        <v>No</v>
      </c>
      <c r="CK25" s="146" t="str">
        <f>_xlfn.IFNA(IF(OR(INDEX(Producer!$P:$P,MATCH($D25,Producer!$A:$A,0))="Intermediary Small HMO",INDEX(Producer!$P:$P,MATCH($D25,Producer!$A:$A,0))="Intermediary Large HMO"),"Only available","No"),"")</f>
        <v>No</v>
      </c>
      <c r="CL25" s="146" t="str">
        <f t="shared" si="19"/>
        <v>No</v>
      </c>
      <c r="CM25" s="146" t="str">
        <f t="shared" si="20"/>
        <v>No</v>
      </c>
      <c r="CN25" s="146" t="str">
        <f t="shared" si="21"/>
        <v>No</v>
      </c>
      <c r="CO25" s="146" t="str">
        <f t="shared" si="22"/>
        <v>Also available</v>
      </c>
      <c r="CP25" s="146" t="str">
        <f t="shared" si="23"/>
        <v>No</v>
      </c>
      <c r="CQ25" s="146" t="str">
        <f t="shared" si="24"/>
        <v>No</v>
      </c>
      <c r="CR25" s="146" t="str">
        <f t="shared" si="25"/>
        <v>Also available</v>
      </c>
      <c r="CS25" s="146" t="str">
        <f t="shared" si="26"/>
        <v>Only available</v>
      </c>
      <c r="CT25" s="146" t="str">
        <f t="shared" si="27"/>
        <v>No</v>
      </c>
      <c r="CU25" s="146"/>
    </row>
    <row r="26" spans="1:99" ht="16.399999999999999" customHeight="1" x14ac:dyDescent="0.35">
      <c r="A26" s="145" t="str">
        <f t="shared" si="0"/>
        <v>Leeds Building Society</v>
      </c>
      <c r="B26" s="145" t="str">
        <f>_xlfn.IFNA(_xlfn.CONCAT(INDEX(Producer!$P:$P,MATCH($D26,Producer!$A:$A,0))," ",IF(INDEX(Producer!$N:$N,MATCH($D26,Producer!$A:$A,0))="Yes","Green ",""),IF(AND(INDEX(Producer!$L:$L,MATCH($D26,Producer!$A:$A,0))="No",INDEX(Producer!$C:$C,MATCH($D26,Producer!$A:$A,0))="Fixed"),"Flexit ",""),INDEX(Producer!$B:$B,MATCH($D26,Producer!$A:$A,0))," Year ",INDEX(Producer!$C:$C,MATCH($D26,Producer!$A:$A,0))," ",VALUE(INDEX(Producer!$E:$E,MATCH($D26,Producer!$A:$A,0)))*100,"% LTV",IF(INDEX(Producer!$N:$N,MATCH($D26,Producer!$A:$A,0))="Yes"," (EPC A-C)","")," - ",IF(INDEX(Producer!$D:$D,MATCH($D26,Producer!$A:$A,0))="DLY","Daily","Annual")),"")</f>
        <v>Residential Interest Only 2 Year Fixed 65% LTV - Daily</v>
      </c>
      <c r="C26" s="146" t="str">
        <f>_xlfn.IFNA(INDEX(Producer!$Q:$Q,MATCH($D26,Producer!$A:$A,0)),"")</f>
        <v>Residential</v>
      </c>
      <c r="D26" s="146">
        <f>IFERROR(VALUE(MID(Producer!$R$2,IF($D25="",1/0,FIND(_xlfn.CONCAT($D24,$D25),Producer!$R$2)+10),5)),"")</f>
        <v>54192</v>
      </c>
      <c r="E26" s="146" t="str">
        <f t="shared" si="1"/>
        <v>Stepped Fixed</v>
      </c>
      <c r="F26" s="146"/>
      <c r="G26" s="147">
        <f>_xlfn.IFNA(VALUE(INDEX(Producer!$F:$F,MATCH($D26,Producer!$A:$A,0)))*100,"")</f>
        <v>4.99</v>
      </c>
      <c r="H26" s="216">
        <f>_xlfn.IFNA(IFERROR(DATEVALUE(INDEX(Producer!$M:$M,MATCH($D26,Producer!$A:$A,0))),(INDEX(Producer!$M:$M,MATCH($D26,Producer!$A:$A,0)))),"")</f>
        <v>46418</v>
      </c>
      <c r="I26" s="217">
        <f>_xlfn.IFNA(VALUE(INDEX(Producer!$B:$B,MATCH($D26,Producer!$A:$A,0)))*12,"")</f>
        <v>24</v>
      </c>
      <c r="J26" s="146">
        <f>_xlfn.IFNA(IF(C26="Residential",IF(VALUE(INDEX(Producer!$B:$B,MATCH($D26,Producer!$A:$A,0)))&lt;5,Constants!$C$10,""),IF(VALUE(INDEX(Producer!$B:$B,MATCH($D26,Producer!$A:$A,0)))&lt;5,Constants!$C$11,"")),"")</f>
        <v>7.49</v>
      </c>
      <c r="K26" s="216">
        <f>_xlfn.IFNA(IF(($I26)&lt;60,DATE(YEAR(H26)+(5-VALUE(INDEX(Producer!$B:$B,MATCH($D26,Producer!$A:$A,0)))),MONTH(H26),DAY(H26)),""),"")</f>
        <v>47514</v>
      </c>
      <c r="L26" s="153">
        <f t="shared" si="2"/>
        <v>36</v>
      </c>
      <c r="M26" s="146"/>
      <c r="N26" s="148"/>
      <c r="O26" s="148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>
        <f>IF(D26="","",IF(C26="Residential",Constants!$B$10,Constants!$B$11))</f>
        <v>8.24</v>
      </c>
      <c r="AL26" s="146" t="str">
        <f t="shared" si="3"/>
        <v>SVR</v>
      </c>
      <c r="AM26" s="206" t="str">
        <f t="shared" si="4"/>
        <v/>
      </c>
      <c r="AN26" s="146">
        <f t="shared" si="5"/>
        <v>10</v>
      </c>
      <c r="AO26" s="149" t="str">
        <f t="shared" si="6"/>
        <v>Remortgage</v>
      </c>
      <c r="AP26" s="150" t="str">
        <f t="shared" si="7"/>
        <v>ProductTransfer</v>
      </c>
      <c r="AQ26" s="146">
        <f>IFERROR(_xlfn.IFNA(IF($BA26="No",0,IF(INDEX(Constants!B:B,MATCH(($I26/12),Constants!$A:$A,0))=0,0,INDEX(Constants!B:B,MATCH(($I26/12),Constants!$A:$A,0)))),0),"")</f>
        <v>2.5</v>
      </c>
      <c r="AR26" s="146">
        <f>IFERROR(_xlfn.IFNA(IF($BA26="No",0,IF(INDEX(Constants!C:C,MATCH(($I26/12),Constants!$A:$A,0))=0,0,INDEX(Constants!C:C,MATCH(($I26/12),Constants!$A:$A,0)))),0),"")</f>
        <v>1.5</v>
      </c>
      <c r="AS26" s="146">
        <f>IFERROR(_xlfn.IFNA(IF($BA26="No",0,IF(INDEX(Constants!D:D,MATCH(($I26/12),Constants!$A:$A,0))=0,0,INDEX(Constants!D:D,MATCH(($I26/12),Constants!$A:$A,0)))),0),"")</f>
        <v>0</v>
      </c>
      <c r="AT26" s="146">
        <f>IFERROR(_xlfn.IFNA(IF($BA26="No",0,IF(INDEX(Constants!E:E,MATCH(($I26/12),Constants!$A:$A,0))=0,0,INDEX(Constants!E:E,MATCH(($I26/12),Constants!$A:$A,0)))),0),"")</f>
        <v>0</v>
      </c>
      <c r="AU26" s="146">
        <f>IFERROR(_xlfn.IFNA(IF($BA26="No",0,IF(INDEX(Constants!F:F,MATCH(($I26/12),Constants!$A:$A,0))=0,0,INDEX(Constants!F:F,MATCH(($I26/12),Constants!$A:$A,0)))),0),"")</f>
        <v>0</v>
      </c>
      <c r="AV26" s="146">
        <f>IFERROR(_xlfn.IFNA(IF($BA26="No",0,IF(INDEX(Constants!G:G,MATCH(($I26/12),Constants!$A:$A,0))=0,0,INDEX(Constants!G:G,MATCH(($I26/12),Constants!$A:$A,0)))),0),"")</f>
        <v>0</v>
      </c>
      <c r="AW26" s="146">
        <f>IFERROR(_xlfn.IFNA(IF($BA26="No",0,IF(INDEX(Constants!H:H,MATCH(($I26/12),Constants!$A:$A,0))=0,0,INDEX(Constants!H:H,MATCH(($I26/12),Constants!$A:$A,0)))),0),"")</f>
        <v>0</v>
      </c>
      <c r="AX26" s="146">
        <f>IFERROR(_xlfn.IFNA(IF($BA26="No",0,IF(INDEX(Constants!I:I,MATCH(($I26/12),Constants!$A:$A,0))=0,0,INDEX(Constants!I:I,MATCH(($I26/12),Constants!$A:$A,0)))),0),"")</f>
        <v>0</v>
      </c>
      <c r="AY26" s="146">
        <f>IFERROR(_xlfn.IFNA(IF($BA26="No",0,IF(INDEX(Constants!J:J,MATCH(($I26/12),Constants!$A:$A,0))=0,0,INDEX(Constants!J:J,MATCH(($I26/12),Constants!$A:$A,0)))),0),"")</f>
        <v>0</v>
      </c>
      <c r="AZ26" s="146">
        <f>IFERROR(_xlfn.IFNA(IF($BA26="No",0,IF(INDEX(Constants!K:K,MATCH(($I26/12),Constants!$A:$A,0))=0,0,INDEX(Constants!K:K,MATCH(($I26/12),Constants!$A:$A,0)))),0),"")</f>
        <v>0</v>
      </c>
      <c r="BA26" s="147" t="str">
        <f>_xlfn.IFNA(INDEX(Producer!$L:$L,MATCH($D26,Producer!$A:$A,0)),"")</f>
        <v>Yes</v>
      </c>
      <c r="BB26" s="146" t="str">
        <f>IFERROR(IF(AQ26=0,"",IF(($I26/12)=15,_xlfn.CONCAT(Constants!$N$7,TEXT(DATE(YEAR(H26)-(($I26/12)-3),MONTH(H26),DAY(H26)),"dd/mm/yyyy"),", ",Constants!$P$7,TEXT(DATE(YEAR(H26)-(($I26/12)-8),MONTH(H26),DAY(H26)),"dd/mm/yyyy"),", ",Constants!$T$7,TEXT(DATE(YEAR(H26)-(($I26/12)-11),MONTH(H26),DAY(H26)),"dd/mm/yyyy"),", ",Constants!$V$7,TEXT(DATE(YEAR(H26)-(($I26/12)-13),MONTH(H26),DAY(H26)),"dd/mm/yyyy"),", ",Constants!$W$7,TEXT($H26,"dd/mm/yyyy")),IF(($I26/12)=10,_xlfn.CONCAT(Constants!$N$6,TEXT(DATE(YEAR(H26)-(($I26/12)-2),MONTH(H26),DAY(H26)),"dd/mm/yyyy"),", ",Constants!$P$6,TEXT(DATE(YEAR(H26)-(($I26/12)-6),MONTH(H26),DAY(H26)),"dd/mm/yyyy"),", ",Constants!$T$6,TEXT(DATE(YEAR(H26)-(($I26/12)-8),MONTH(H26),DAY(H26)),"dd/mm/yyyy"),", ",Constants!$V$6,TEXT(DATE(YEAR(H26)-(($I26/12)-9),MONTH(H26),DAY(H26)),"dd/mm/yyyy"),", ",Constants!$W$6,TEXT($H26,"dd/mm/yyyy")),IF(($I26/12)=5,_xlfn.CONCAT(Constants!$N$5,TEXT(DATE(YEAR(H26)-(($I26/12)-1),MONTH(H26),DAY(H26)),"dd/mm/yyyy"),", ",Constants!$O$5,TEXT(DATE(YEAR(H26)-(($I26/12)-2),MONTH(H26),DAY(H26)),"dd/mm/yyyy"),", ",Constants!$P$5,TEXT(DATE(YEAR(H26)-(($I26/12)-3),MONTH(H26),DAY(H26)),"dd/mm/yyyy"),", ",Constants!$Q$5,TEXT(DATE(YEAR(H26)-(($I26/12)-4),MONTH(H26),DAY(H26)),"dd/mm/yyyy"),", ",Constants!$R$5,TEXT($H26,"dd/mm/yyyy")),IF(($I26/12)=3,_xlfn.CONCAT(Constants!$N$4,TEXT(DATE(YEAR(H26)-(($I26/12)-1),MONTH(H26),DAY(H26)),"dd/mm/yyyy"),", ",Constants!$O$4,TEXT(DATE(YEAR(H26)-(($I26/12)-2),MONTH(H26),DAY(H26)),"dd/mm/yyyy"),", ",Constants!$P$4,TEXT($H26,"dd/mm/yyyy")),IF(($I26/12)=2,_xlfn.CONCAT(Constants!$N$3,TEXT(DATE(YEAR(H26)-(($I26/12)-1),MONTH(H26),DAY(H26)),"dd/mm/yyyy"),", ",Constants!$O$3,TEXT($H26,"dd/mm/yyyy")),IF(($I26/12)=1,_xlfn.CONCAT(Constants!$N$2,TEXT($H26,"dd/mm/yyyy")),"Update Constants"))))))),"")</f>
        <v>2.5% to 31/01/2026, 1.5% to 31/01/2027</v>
      </c>
      <c r="BC26" s="147">
        <f>_xlfn.IFNA(VALUE(INDEX(Producer!$K:$K,MATCH($D26,Producer!$A:$A,0))),"")</f>
        <v>0</v>
      </c>
      <c r="BD26" s="147" t="str">
        <f>_xlfn.IFNA(INDEX(Producer!$I:$I,MATCH($D26,Producer!$A:$A,0)),"")</f>
        <v>No</v>
      </c>
      <c r="BE26" s="147" t="str">
        <f t="shared" si="8"/>
        <v>Yes</v>
      </c>
      <c r="BF26" s="147"/>
      <c r="BG26" s="147"/>
      <c r="BH26" s="151">
        <f>_xlfn.IFNA(INDEX(Constants!$B:$B,MATCH(BC26,Constants!A:A,0)),"")</f>
        <v>0</v>
      </c>
      <c r="BI26" s="147">
        <f>IF(LEFT(B26,15)="Limited Company",Constants!$D$16,IFERROR(_xlfn.IFNA(IF(C26="Residential",IF(BK26&lt;75,INDEX(Constants!$B:$B,MATCH(VALUE(60)/100,Constants!$A:$A,0)),INDEX(Constants!$B:$B,MATCH(VALUE(BK26)/100,Constants!$A:$A,0))),IF(BK26&lt;60,INDEX(Constants!$C:$C,MATCH(VALUE(60)/100,Constants!$A:$A,0)),INDEX(Constants!$C:$C,MATCH(VALUE(BK26)/100,Constants!$A:$A,0)))),""),""))</f>
        <v>2000000</v>
      </c>
      <c r="BJ26" s="147">
        <f t="shared" si="9"/>
        <v>0</v>
      </c>
      <c r="BK26" s="147">
        <f>_xlfn.IFNA(VALUE(INDEX(Producer!$E:$E,MATCH($D26,Producer!$A:$A,0)))*100,"")</f>
        <v>65</v>
      </c>
      <c r="BL26" s="146" t="str">
        <f>_xlfn.IFNA(IF(IFERROR(FIND("Part &amp; Part",B26),-10)&gt;0,"PP",IF(OR(LEFT(B26,25)="Residential Interest Only",INDEX(Producer!$P:$P,MATCH($D26,Producer!$A:$A,0))="IO",INDEX(Producer!$P:$P,MATCH($D26,Producer!$A:$A,0))="Retirement Interest Only"),"IO",IF($C26="BuyToLet","CI, IO","CI"))),"")</f>
        <v>IO</v>
      </c>
      <c r="BM26" s="152">
        <f>_xlfn.IFNA(IF(BL26="IO",100%,IF(AND(INDEX(Producer!$P:$P,MATCH($D26,Producer!$A:$A,0))="Residential Interest Only Part &amp; Part",BK26=75),80%,IF(C26="BuyToLet",100%,IF(BL26="Interest Only",100%,IF(AND(INDEX(Producer!$P:$P,MATCH($D26,Producer!$A:$A,0))="Residential Interest Only Part &amp; Part",BK26=60),100%,""))))),"")</f>
        <v>1</v>
      </c>
      <c r="BN26" s="218" t="str">
        <f>_xlfn.IFNA(IF(VALUE(INDEX(Producer!$H:$H,MATCH($D26,Producer!$A:$A,0)))=0,"",VALUE(INDEX(Producer!$H:$H,MATCH($D26,Producer!$A:$A,0)))),"")</f>
        <v/>
      </c>
      <c r="BO26" s="153"/>
      <c r="BP26" s="153"/>
      <c r="BQ26" s="219">
        <f t="shared" si="10"/>
        <v>35</v>
      </c>
      <c r="BR26" s="146"/>
      <c r="BS26" s="146"/>
      <c r="BT26" s="146"/>
      <c r="BU26" s="146"/>
      <c r="BV26" s="219">
        <f t="shared" si="11"/>
        <v>199</v>
      </c>
      <c r="BW26" s="146"/>
      <c r="BX26" s="146"/>
      <c r="BY26" s="146" t="str">
        <f t="shared" si="12"/>
        <v>No</v>
      </c>
      <c r="BZ26" s="146" t="str">
        <f t="shared" si="13"/>
        <v>No</v>
      </c>
      <c r="CA26" s="146" t="str">
        <f t="shared" si="14"/>
        <v>No</v>
      </c>
      <c r="CB26" s="146" t="str">
        <f t="shared" si="15"/>
        <v>No</v>
      </c>
      <c r="CC26" s="146" t="str">
        <f>_xlfn.IFNA(IF(INDEX(Producer!$P:$P,MATCH($D26,Producer!$A:$A,0))="Help to Buy","Only available","No"),"")</f>
        <v>No</v>
      </c>
      <c r="CD26" s="146" t="str">
        <f>_xlfn.IFNA(IF(INDEX(Producer!$P:$P,MATCH($D26,Producer!$A:$A,0))="Shared Ownership","Only available","No"),"")</f>
        <v>No</v>
      </c>
      <c r="CE26" s="146" t="str">
        <f>_xlfn.IFNA(IF(INDEX(Producer!$P:$P,MATCH($D26,Producer!$A:$A,0))="Right to Buy","Only available","No"),"")</f>
        <v>No</v>
      </c>
      <c r="CF26" s="146" t="str">
        <f t="shared" si="16"/>
        <v>No</v>
      </c>
      <c r="CG26" s="146" t="str">
        <f>_xlfn.IFNA(IF(INDEX(Producer!$P:$P,MATCH($D26,Producer!$A:$A,0))="Retirement Interest Only","Only available","No"),"")</f>
        <v>No</v>
      </c>
      <c r="CH26" s="146" t="str">
        <f t="shared" si="17"/>
        <v>No</v>
      </c>
      <c r="CI26" s="146" t="str">
        <f>_xlfn.IFNA(IF(INDEX(Producer!$P:$P,MATCH($D26,Producer!$A:$A,0))="Intermediary Holiday Let","Only available","No"),"")</f>
        <v>No</v>
      </c>
      <c r="CJ26" s="146" t="str">
        <f t="shared" si="18"/>
        <v>No</v>
      </c>
      <c r="CK26" s="146" t="str">
        <f>_xlfn.IFNA(IF(OR(INDEX(Producer!$P:$P,MATCH($D26,Producer!$A:$A,0))="Intermediary Small HMO",INDEX(Producer!$P:$P,MATCH($D26,Producer!$A:$A,0))="Intermediary Large HMO"),"Only available","No"),"")</f>
        <v>No</v>
      </c>
      <c r="CL26" s="146" t="str">
        <f t="shared" si="19"/>
        <v>No</v>
      </c>
      <c r="CM26" s="146" t="str">
        <f t="shared" si="20"/>
        <v>No</v>
      </c>
      <c r="CN26" s="146" t="str">
        <f t="shared" si="21"/>
        <v>No</v>
      </c>
      <c r="CO26" s="146" t="str">
        <f t="shared" si="22"/>
        <v>Also available</v>
      </c>
      <c r="CP26" s="146" t="str">
        <f t="shared" si="23"/>
        <v>No</v>
      </c>
      <c r="CQ26" s="146" t="str">
        <f t="shared" si="24"/>
        <v>No</v>
      </c>
      <c r="CR26" s="146" t="str">
        <f t="shared" si="25"/>
        <v>Also available</v>
      </c>
      <c r="CS26" s="146" t="str">
        <f t="shared" si="26"/>
        <v>Only available</v>
      </c>
      <c r="CT26" s="146" t="str">
        <f t="shared" si="27"/>
        <v>No</v>
      </c>
      <c r="CU26" s="146"/>
    </row>
    <row r="27" spans="1:99" ht="16.399999999999999" customHeight="1" x14ac:dyDescent="0.35">
      <c r="A27" s="145" t="str">
        <f t="shared" si="0"/>
        <v>Leeds Building Society</v>
      </c>
      <c r="B27" s="145" t="str">
        <f>_xlfn.IFNA(_xlfn.CONCAT(INDEX(Producer!$P:$P,MATCH($D27,Producer!$A:$A,0))," ",IF(INDEX(Producer!$N:$N,MATCH($D27,Producer!$A:$A,0))="Yes","Green ",""),IF(AND(INDEX(Producer!$L:$L,MATCH($D27,Producer!$A:$A,0))="No",INDEX(Producer!$C:$C,MATCH($D27,Producer!$A:$A,0))="Fixed"),"Flexit ",""),INDEX(Producer!$B:$B,MATCH($D27,Producer!$A:$A,0))," Year ",INDEX(Producer!$C:$C,MATCH($D27,Producer!$A:$A,0))," ",VALUE(INDEX(Producer!$E:$E,MATCH($D27,Producer!$A:$A,0)))*100,"% LTV",IF(INDEX(Producer!$N:$N,MATCH($D27,Producer!$A:$A,0))="Yes"," (EPC A-C)","")," - ",IF(INDEX(Producer!$D:$D,MATCH($D27,Producer!$A:$A,0))="DLY","Daily","Annual")),"")</f>
        <v>Residential Interest Only 2 Year Fixed 75% LTV - Daily</v>
      </c>
      <c r="C27" s="146" t="str">
        <f>_xlfn.IFNA(INDEX(Producer!$Q:$Q,MATCH($D27,Producer!$A:$A,0)),"")</f>
        <v>Residential</v>
      </c>
      <c r="D27" s="146">
        <f>IFERROR(VALUE(MID(Producer!$R$2,IF($D26="",1/0,FIND(_xlfn.CONCAT($D25,$D26),Producer!$R$2)+10),5)),"")</f>
        <v>54194</v>
      </c>
      <c r="E27" s="146" t="str">
        <f t="shared" si="1"/>
        <v>Stepped Fixed</v>
      </c>
      <c r="F27" s="146"/>
      <c r="G27" s="147">
        <f>_xlfn.IFNA(VALUE(INDEX(Producer!$F:$F,MATCH($D27,Producer!$A:$A,0)))*100,"")</f>
        <v>4.84</v>
      </c>
      <c r="H27" s="216">
        <f>_xlfn.IFNA(IFERROR(DATEVALUE(INDEX(Producer!$M:$M,MATCH($D27,Producer!$A:$A,0))),(INDEX(Producer!$M:$M,MATCH($D27,Producer!$A:$A,0)))),"")</f>
        <v>46418</v>
      </c>
      <c r="I27" s="217">
        <f>_xlfn.IFNA(VALUE(INDEX(Producer!$B:$B,MATCH($D27,Producer!$A:$A,0)))*12,"")</f>
        <v>24</v>
      </c>
      <c r="J27" s="146">
        <f>_xlfn.IFNA(IF(C27="Residential",IF(VALUE(INDEX(Producer!$B:$B,MATCH($D27,Producer!$A:$A,0)))&lt;5,Constants!$C$10,""),IF(VALUE(INDEX(Producer!$B:$B,MATCH($D27,Producer!$A:$A,0)))&lt;5,Constants!$C$11,"")),"")</f>
        <v>7.49</v>
      </c>
      <c r="K27" s="216">
        <f>_xlfn.IFNA(IF(($I27)&lt;60,DATE(YEAR(H27)+(5-VALUE(INDEX(Producer!$B:$B,MATCH($D27,Producer!$A:$A,0)))),MONTH(H27),DAY(H27)),""),"")</f>
        <v>47514</v>
      </c>
      <c r="L27" s="153">
        <f t="shared" si="2"/>
        <v>36</v>
      </c>
      <c r="M27" s="146"/>
      <c r="N27" s="148"/>
      <c r="O27" s="148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>
        <f>IF(D27="","",IF(C27="Residential",Constants!$B$10,Constants!$B$11))</f>
        <v>8.24</v>
      </c>
      <c r="AL27" s="146" t="str">
        <f t="shared" si="3"/>
        <v>SVR</v>
      </c>
      <c r="AM27" s="206" t="str">
        <f t="shared" si="4"/>
        <v/>
      </c>
      <c r="AN27" s="146">
        <f t="shared" si="5"/>
        <v>10</v>
      </c>
      <c r="AO27" s="149" t="str">
        <f t="shared" si="6"/>
        <v>Remortgage</v>
      </c>
      <c r="AP27" s="150" t="str">
        <f t="shared" si="7"/>
        <v>ProductTransfer</v>
      </c>
      <c r="AQ27" s="146">
        <f>IFERROR(_xlfn.IFNA(IF($BA27="No",0,IF(INDEX(Constants!B:B,MATCH(($I27/12),Constants!$A:$A,0))=0,0,INDEX(Constants!B:B,MATCH(($I27/12),Constants!$A:$A,0)))),0),"")</f>
        <v>2.5</v>
      </c>
      <c r="AR27" s="146">
        <f>IFERROR(_xlfn.IFNA(IF($BA27="No",0,IF(INDEX(Constants!C:C,MATCH(($I27/12),Constants!$A:$A,0))=0,0,INDEX(Constants!C:C,MATCH(($I27/12),Constants!$A:$A,0)))),0),"")</f>
        <v>1.5</v>
      </c>
      <c r="AS27" s="146">
        <f>IFERROR(_xlfn.IFNA(IF($BA27="No",0,IF(INDEX(Constants!D:D,MATCH(($I27/12),Constants!$A:$A,0))=0,0,INDEX(Constants!D:D,MATCH(($I27/12),Constants!$A:$A,0)))),0),"")</f>
        <v>0</v>
      </c>
      <c r="AT27" s="146">
        <f>IFERROR(_xlfn.IFNA(IF($BA27="No",0,IF(INDEX(Constants!E:E,MATCH(($I27/12),Constants!$A:$A,0))=0,0,INDEX(Constants!E:E,MATCH(($I27/12),Constants!$A:$A,0)))),0),"")</f>
        <v>0</v>
      </c>
      <c r="AU27" s="146">
        <f>IFERROR(_xlfn.IFNA(IF($BA27="No",0,IF(INDEX(Constants!F:F,MATCH(($I27/12),Constants!$A:$A,0))=0,0,INDEX(Constants!F:F,MATCH(($I27/12),Constants!$A:$A,0)))),0),"")</f>
        <v>0</v>
      </c>
      <c r="AV27" s="146">
        <f>IFERROR(_xlfn.IFNA(IF($BA27="No",0,IF(INDEX(Constants!G:G,MATCH(($I27/12),Constants!$A:$A,0))=0,0,INDEX(Constants!G:G,MATCH(($I27/12),Constants!$A:$A,0)))),0),"")</f>
        <v>0</v>
      </c>
      <c r="AW27" s="146">
        <f>IFERROR(_xlfn.IFNA(IF($BA27="No",0,IF(INDEX(Constants!H:H,MATCH(($I27/12),Constants!$A:$A,0))=0,0,INDEX(Constants!H:H,MATCH(($I27/12),Constants!$A:$A,0)))),0),"")</f>
        <v>0</v>
      </c>
      <c r="AX27" s="146">
        <f>IFERROR(_xlfn.IFNA(IF($BA27="No",0,IF(INDEX(Constants!I:I,MATCH(($I27/12),Constants!$A:$A,0))=0,0,INDEX(Constants!I:I,MATCH(($I27/12),Constants!$A:$A,0)))),0),"")</f>
        <v>0</v>
      </c>
      <c r="AY27" s="146">
        <f>IFERROR(_xlfn.IFNA(IF($BA27="No",0,IF(INDEX(Constants!J:J,MATCH(($I27/12),Constants!$A:$A,0))=0,0,INDEX(Constants!J:J,MATCH(($I27/12),Constants!$A:$A,0)))),0),"")</f>
        <v>0</v>
      </c>
      <c r="AZ27" s="146">
        <f>IFERROR(_xlfn.IFNA(IF($BA27="No",0,IF(INDEX(Constants!K:K,MATCH(($I27/12),Constants!$A:$A,0))=0,0,INDEX(Constants!K:K,MATCH(($I27/12),Constants!$A:$A,0)))),0),"")</f>
        <v>0</v>
      </c>
      <c r="BA27" s="147" t="str">
        <f>_xlfn.IFNA(INDEX(Producer!$L:$L,MATCH($D27,Producer!$A:$A,0)),"")</f>
        <v>Yes</v>
      </c>
      <c r="BB27" s="146" t="str">
        <f>IFERROR(IF(AQ27=0,"",IF(($I27/12)=15,_xlfn.CONCAT(Constants!$N$7,TEXT(DATE(YEAR(H27)-(($I27/12)-3),MONTH(H27),DAY(H27)),"dd/mm/yyyy"),", ",Constants!$P$7,TEXT(DATE(YEAR(H27)-(($I27/12)-8),MONTH(H27),DAY(H27)),"dd/mm/yyyy"),", ",Constants!$T$7,TEXT(DATE(YEAR(H27)-(($I27/12)-11),MONTH(H27),DAY(H27)),"dd/mm/yyyy"),", ",Constants!$V$7,TEXT(DATE(YEAR(H27)-(($I27/12)-13),MONTH(H27),DAY(H27)),"dd/mm/yyyy"),", ",Constants!$W$7,TEXT($H27,"dd/mm/yyyy")),IF(($I27/12)=10,_xlfn.CONCAT(Constants!$N$6,TEXT(DATE(YEAR(H27)-(($I27/12)-2),MONTH(H27),DAY(H27)),"dd/mm/yyyy"),", ",Constants!$P$6,TEXT(DATE(YEAR(H27)-(($I27/12)-6),MONTH(H27),DAY(H27)),"dd/mm/yyyy"),", ",Constants!$T$6,TEXT(DATE(YEAR(H27)-(($I27/12)-8),MONTH(H27),DAY(H27)),"dd/mm/yyyy"),", ",Constants!$V$6,TEXT(DATE(YEAR(H27)-(($I27/12)-9),MONTH(H27),DAY(H27)),"dd/mm/yyyy"),", ",Constants!$W$6,TEXT($H27,"dd/mm/yyyy")),IF(($I27/12)=5,_xlfn.CONCAT(Constants!$N$5,TEXT(DATE(YEAR(H27)-(($I27/12)-1),MONTH(H27),DAY(H27)),"dd/mm/yyyy"),", ",Constants!$O$5,TEXT(DATE(YEAR(H27)-(($I27/12)-2),MONTH(H27),DAY(H27)),"dd/mm/yyyy"),", ",Constants!$P$5,TEXT(DATE(YEAR(H27)-(($I27/12)-3),MONTH(H27),DAY(H27)),"dd/mm/yyyy"),", ",Constants!$Q$5,TEXT(DATE(YEAR(H27)-(($I27/12)-4),MONTH(H27),DAY(H27)),"dd/mm/yyyy"),", ",Constants!$R$5,TEXT($H27,"dd/mm/yyyy")),IF(($I27/12)=3,_xlfn.CONCAT(Constants!$N$4,TEXT(DATE(YEAR(H27)-(($I27/12)-1),MONTH(H27),DAY(H27)),"dd/mm/yyyy"),", ",Constants!$O$4,TEXT(DATE(YEAR(H27)-(($I27/12)-2),MONTH(H27),DAY(H27)),"dd/mm/yyyy"),", ",Constants!$P$4,TEXT($H27,"dd/mm/yyyy")),IF(($I27/12)=2,_xlfn.CONCAT(Constants!$N$3,TEXT(DATE(YEAR(H27)-(($I27/12)-1),MONTH(H27),DAY(H27)),"dd/mm/yyyy"),", ",Constants!$O$3,TEXT($H27,"dd/mm/yyyy")),IF(($I27/12)=1,_xlfn.CONCAT(Constants!$N$2,TEXT($H27,"dd/mm/yyyy")),"Update Constants"))))))),"")</f>
        <v>2.5% to 31/01/2026, 1.5% to 31/01/2027</v>
      </c>
      <c r="BC27" s="147">
        <f>_xlfn.IFNA(VALUE(INDEX(Producer!$K:$K,MATCH($D27,Producer!$A:$A,0))),"")</f>
        <v>0</v>
      </c>
      <c r="BD27" s="147" t="str">
        <f>_xlfn.IFNA(INDEX(Producer!$I:$I,MATCH($D27,Producer!$A:$A,0)),"")</f>
        <v>No</v>
      </c>
      <c r="BE27" s="147" t="str">
        <f t="shared" si="8"/>
        <v>Yes</v>
      </c>
      <c r="BF27" s="147"/>
      <c r="BG27" s="147"/>
      <c r="BH27" s="151">
        <f>_xlfn.IFNA(INDEX(Constants!$B:$B,MATCH(BC27,Constants!A:A,0)),"")</f>
        <v>0</v>
      </c>
      <c r="BI27" s="147">
        <f>IF(LEFT(B27,15)="Limited Company",Constants!$D$16,IFERROR(_xlfn.IFNA(IF(C27="Residential",IF(BK27&lt;75,INDEX(Constants!$B:$B,MATCH(VALUE(60)/100,Constants!$A:$A,0)),INDEX(Constants!$B:$B,MATCH(VALUE(BK27)/100,Constants!$A:$A,0))),IF(BK27&lt;60,INDEX(Constants!$C:$C,MATCH(VALUE(60)/100,Constants!$A:$A,0)),INDEX(Constants!$C:$C,MATCH(VALUE(BK27)/100,Constants!$A:$A,0)))),""),""))</f>
        <v>2000000</v>
      </c>
      <c r="BJ27" s="147">
        <f t="shared" si="9"/>
        <v>0</v>
      </c>
      <c r="BK27" s="147">
        <f>_xlfn.IFNA(VALUE(INDEX(Producer!$E:$E,MATCH($D27,Producer!$A:$A,0)))*100,"")</f>
        <v>75</v>
      </c>
      <c r="BL27" s="146" t="str">
        <f>_xlfn.IFNA(IF(IFERROR(FIND("Part &amp; Part",B27),-10)&gt;0,"PP",IF(OR(LEFT(B27,25)="Residential Interest Only",INDEX(Producer!$P:$P,MATCH($D27,Producer!$A:$A,0))="IO",INDEX(Producer!$P:$P,MATCH($D27,Producer!$A:$A,0))="Retirement Interest Only"),"IO",IF($C27="BuyToLet","CI, IO","CI"))),"")</f>
        <v>IO</v>
      </c>
      <c r="BM27" s="152">
        <f>_xlfn.IFNA(IF(BL27="IO",100%,IF(AND(INDEX(Producer!$P:$P,MATCH($D27,Producer!$A:$A,0))="Residential Interest Only Part &amp; Part",BK27=75),80%,IF(C27="BuyToLet",100%,IF(BL27="Interest Only",100%,IF(AND(INDEX(Producer!$P:$P,MATCH($D27,Producer!$A:$A,0))="Residential Interest Only Part &amp; Part",BK27=60),100%,""))))),"")</f>
        <v>1</v>
      </c>
      <c r="BN27" s="218">
        <f>_xlfn.IFNA(IF(VALUE(INDEX(Producer!$H:$H,MATCH($D27,Producer!$A:$A,0)))=0,"",VALUE(INDEX(Producer!$H:$H,MATCH($D27,Producer!$A:$A,0)))),"")</f>
        <v>999</v>
      </c>
      <c r="BO27" s="153"/>
      <c r="BP27" s="153"/>
      <c r="BQ27" s="219">
        <f t="shared" si="10"/>
        <v>35</v>
      </c>
      <c r="BR27" s="146"/>
      <c r="BS27" s="146"/>
      <c r="BT27" s="146"/>
      <c r="BU27" s="146"/>
      <c r="BV27" s="219">
        <f t="shared" si="11"/>
        <v>199</v>
      </c>
      <c r="BW27" s="146"/>
      <c r="BX27" s="146"/>
      <c r="BY27" s="146" t="str">
        <f t="shared" si="12"/>
        <v>No</v>
      </c>
      <c r="BZ27" s="146" t="str">
        <f t="shared" si="13"/>
        <v>No</v>
      </c>
      <c r="CA27" s="146" t="str">
        <f t="shared" si="14"/>
        <v>No</v>
      </c>
      <c r="CB27" s="146" t="str">
        <f t="shared" si="15"/>
        <v>No</v>
      </c>
      <c r="CC27" s="146" t="str">
        <f>_xlfn.IFNA(IF(INDEX(Producer!$P:$P,MATCH($D27,Producer!$A:$A,0))="Help to Buy","Only available","No"),"")</f>
        <v>No</v>
      </c>
      <c r="CD27" s="146" t="str">
        <f>_xlfn.IFNA(IF(INDEX(Producer!$P:$P,MATCH($D27,Producer!$A:$A,0))="Shared Ownership","Only available","No"),"")</f>
        <v>No</v>
      </c>
      <c r="CE27" s="146" t="str">
        <f>_xlfn.IFNA(IF(INDEX(Producer!$P:$P,MATCH($D27,Producer!$A:$A,0))="Right to Buy","Only available","No"),"")</f>
        <v>No</v>
      </c>
      <c r="CF27" s="146" t="str">
        <f t="shared" si="16"/>
        <v>No</v>
      </c>
      <c r="CG27" s="146" t="str">
        <f>_xlfn.IFNA(IF(INDEX(Producer!$P:$P,MATCH($D27,Producer!$A:$A,0))="Retirement Interest Only","Only available","No"),"")</f>
        <v>No</v>
      </c>
      <c r="CH27" s="146" t="str">
        <f t="shared" si="17"/>
        <v>No</v>
      </c>
      <c r="CI27" s="146" t="str">
        <f>_xlfn.IFNA(IF(INDEX(Producer!$P:$P,MATCH($D27,Producer!$A:$A,0))="Intermediary Holiday Let","Only available","No"),"")</f>
        <v>No</v>
      </c>
      <c r="CJ27" s="146" t="str">
        <f t="shared" si="18"/>
        <v>No</v>
      </c>
      <c r="CK27" s="146" t="str">
        <f>_xlfn.IFNA(IF(OR(INDEX(Producer!$P:$P,MATCH($D27,Producer!$A:$A,0))="Intermediary Small HMO",INDEX(Producer!$P:$P,MATCH($D27,Producer!$A:$A,0))="Intermediary Large HMO"),"Only available","No"),"")</f>
        <v>No</v>
      </c>
      <c r="CL27" s="146" t="str">
        <f t="shared" si="19"/>
        <v>No</v>
      </c>
      <c r="CM27" s="146" t="str">
        <f t="shared" si="20"/>
        <v>No</v>
      </c>
      <c r="CN27" s="146" t="str">
        <f t="shared" si="21"/>
        <v>No</v>
      </c>
      <c r="CO27" s="146" t="str">
        <f t="shared" si="22"/>
        <v>Also available</v>
      </c>
      <c r="CP27" s="146" t="str">
        <f t="shared" si="23"/>
        <v>No</v>
      </c>
      <c r="CQ27" s="146" t="str">
        <f t="shared" si="24"/>
        <v>No</v>
      </c>
      <c r="CR27" s="146" t="str">
        <f t="shared" si="25"/>
        <v>Also available</v>
      </c>
      <c r="CS27" s="146" t="str">
        <f t="shared" si="26"/>
        <v>Only available</v>
      </c>
      <c r="CT27" s="146" t="str">
        <f t="shared" si="27"/>
        <v>No</v>
      </c>
      <c r="CU27" s="146"/>
    </row>
    <row r="28" spans="1:99" ht="16.399999999999999" customHeight="1" x14ac:dyDescent="0.35">
      <c r="A28" s="145" t="str">
        <f t="shared" si="0"/>
        <v>Leeds Building Society</v>
      </c>
      <c r="B28" s="145" t="str">
        <f>_xlfn.IFNA(_xlfn.CONCAT(INDEX(Producer!$P:$P,MATCH($D28,Producer!$A:$A,0))," ",IF(INDEX(Producer!$N:$N,MATCH($D28,Producer!$A:$A,0))="Yes","Green ",""),IF(AND(INDEX(Producer!$L:$L,MATCH($D28,Producer!$A:$A,0))="No",INDEX(Producer!$C:$C,MATCH($D28,Producer!$A:$A,0))="Fixed"),"Flexit ",""),INDEX(Producer!$B:$B,MATCH($D28,Producer!$A:$A,0))," Year ",INDEX(Producer!$C:$C,MATCH($D28,Producer!$A:$A,0))," ",VALUE(INDEX(Producer!$E:$E,MATCH($D28,Producer!$A:$A,0)))*100,"% LTV",IF(INDEX(Producer!$N:$N,MATCH($D28,Producer!$A:$A,0))="Yes"," (EPC A-C)","")," - ",IF(INDEX(Producer!$D:$D,MATCH($D28,Producer!$A:$A,0))="DLY","Daily","Annual")),"")</f>
        <v>Residential Interest Only 2 Year Fixed 75% LTV - Daily</v>
      </c>
      <c r="C28" s="146" t="str">
        <f>_xlfn.IFNA(INDEX(Producer!$Q:$Q,MATCH($D28,Producer!$A:$A,0)),"")</f>
        <v>Residential</v>
      </c>
      <c r="D28" s="146">
        <f>IFERROR(VALUE(MID(Producer!$R$2,IF($D27="",1/0,FIND(_xlfn.CONCAT($D26,$D27),Producer!$R$2)+10),5)),"")</f>
        <v>54196</v>
      </c>
      <c r="E28" s="146" t="str">
        <f t="shared" si="1"/>
        <v>Stepped Fixed</v>
      </c>
      <c r="F28" s="146"/>
      <c r="G28" s="147">
        <f>_xlfn.IFNA(VALUE(INDEX(Producer!$F:$F,MATCH($D28,Producer!$A:$A,0)))*100,"")</f>
        <v>5.09</v>
      </c>
      <c r="H28" s="216">
        <f>_xlfn.IFNA(IFERROR(DATEVALUE(INDEX(Producer!$M:$M,MATCH($D28,Producer!$A:$A,0))),(INDEX(Producer!$M:$M,MATCH($D28,Producer!$A:$A,0)))),"")</f>
        <v>46418</v>
      </c>
      <c r="I28" s="217">
        <f>_xlfn.IFNA(VALUE(INDEX(Producer!$B:$B,MATCH($D28,Producer!$A:$A,0)))*12,"")</f>
        <v>24</v>
      </c>
      <c r="J28" s="146">
        <f>_xlfn.IFNA(IF(C28="Residential",IF(VALUE(INDEX(Producer!$B:$B,MATCH($D28,Producer!$A:$A,0)))&lt;5,Constants!$C$10,""),IF(VALUE(INDEX(Producer!$B:$B,MATCH($D28,Producer!$A:$A,0)))&lt;5,Constants!$C$11,"")),"")</f>
        <v>7.49</v>
      </c>
      <c r="K28" s="216">
        <f>_xlfn.IFNA(IF(($I28)&lt;60,DATE(YEAR(H28)+(5-VALUE(INDEX(Producer!$B:$B,MATCH($D28,Producer!$A:$A,0)))),MONTH(H28),DAY(H28)),""),"")</f>
        <v>47514</v>
      </c>
      <c r="L28" s="153">
        <f t="shared" si="2"/>
        <v>36</v>
      </c>
      <c r="M28" s="146"/>
      <c r="N28" s="148"/>
      <c r="O28" s="148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>
        <f>IF(D28="","",IF(C28="Residential",Constants!$B$10,Constants!$B$11))</f>
        <v>8.24</v>
      </c>
      <c r="AL28" s="146" t="str">
        <f t="shared" si="3"/>
        <v>SVR</v>
      </c>
      <c r="AM28" s="206" t="str">
        <f t="shared" si="4"/>
        <v/>
      </c>
      <c r="AN28" s="146">
        <f t="shared" si="5"/>
        <v>10</v>
      </c>
      <c r="AO28" s="149" t="str">
        <f t="shared" si="6"/>
        <v>Remortgage</v>
      </c>
      <c r="AP28" s="150" t="str">
        <f t="shared" si="7"/>
        <v>ProductTransfer</v>
      </c>
      <c r="AQ28" s="146">
        <f>IFERROR(_xlfn.IFNA(IF($BA28="No",0,IF(INDEX(Constants!B:B,MATCH(($I28/12),Constants!$A:$A,0))=0,0,INDEX(Constants!B:B,MATCH(($I28/12),Constants!$A:$A,0)))),0),"")</f>
        <v>2.5</v>
      </c>
      <c r="AR28" s="146">
        <f>IFERROR(_xlfn.IFNA(IF($BA28="No",0,IF(INDEX(Constants!C:C,MATCH(($I28/12),Constants!$A:$A,0))=0,0,INDEX(Constants!C:C,MATCH(($I28/12),Constants!$A:$A,0)))),0),"")</f>
        <v>1.5</v>
      </c>
      <c r="AS28" s="146">
        <f>IFERROR(_xlfn.IFNA(IF($BA28="No",0,IF(INDEX(Constants!D:D,MATCH(($I28/12),Constants!$A:$A,0))=0,0,INDEX(Constants!D:D,MATCH(($I28/12),Constants!$A:$A,0)))),0),"")</f>
        <v>0</v>
      </c>
      <c r="AT28" s="146">
        <f>IFERROR(_xlfn.IFNA(IF($BA28="No",0,IF(INDEX(Constants!E:E,MATCH(($I28/12),Constants!$A:$A,0))=0,0,INDEX(Constants!E:E,MATCH(($I28/12),Constants!$A:$A,0)))),0),"")</f>
        <v>0</v>
      </c>
      <c r="AU28" s="146">
        <f>IFERROR(_xlfn.IFNA(IF($BA28="No",0,IF(INDEX(Constants!F:F,MATCH(($I28/12),Constants!$A:$A,0))=0,0,INDEX(Constants!F:F,MATCH(($I28/12),Constants!$A:$A,0)))),0),"")</f>
        <v>0</v>
      </c>
      <c r="AV28" s="146">
        <f>IFERROR(_xlfn.IFNA(IF($BA28="No",0,IF(INDEX(Constants!G:G,MATCH(($I28/12),Constants!$A:$A,0))=0,0,INDEX(Constants!G:G,MATCH(($I28/12),Constants!$A:$A,0)))),0),"")</f>
        <v>0</v>
      </c>
      <c r="AW28" s="146">
        <f>IFERROR(_xlfn.IFNA(IF($BA28="No",0,IF(INDEX(Constants!H:H,MATCH(($I28/12),Constants!$A:$A,0))=0,0,INDEX(Constants!H:H,MATCH(($I28/12),Constants!$A:$A,0)))),0),"")</f>
        <v>0</v>
      </c>
      <c r="AX28" s="146">
        <f>IFERROR(_xlfn.IFNA(IF($BA28="No",0,IF(INDEX(Constants!I:I,MATCH(($I28/12),Constants!$A:$A,0))=0,0,INDEX(Constants!I:I,MATCH(($I28/12),Constants!$A:$A,0)))),0),"")</f>
        <v>0</v>
      </c>
      <c r="AY28" s="146">
        <f>IFERROR(_xlfn.IFNA(IF($BA28="No",0,IF(INDEX(Constants!J:J,MATCH(($I28/12),Constants!$A:$A,0))=0,0,INDEX(Constants!J:J,MATCH(($I28/12),Constants!$A:$A,0)))),0),"")</f>
        <v>0</v>
      </c>
      <c r="AZ28" s="146">
        <f>IFERROR(_xlfn.IFNA(IF($BA28="No",0,IF(INDEX(Constants!K:K,MATCH(($I28/12),Constants!$A:$A,0))=0,0,INDEX(Constants!K:K,MATCH(($I28/12),Constants!$A:$A,0)))),0),"")</f>
        <v>0</v>
      </c>
      <c r="BA28" s="147" t="str">
        <f>_xlfn.IFNA(INDEX(Producer!$L:$L,MATCH($D28,Producer!$A:$A,0)),"")</f>
        <v>Yes</v>
      </c>
      <c r="BB28" s="146" t="str">
        <f>IFERROR(IF(AQ28=0,"",IF(($I28/12)=15,_xlfn.CONCAT(Constants!$N$7,TEXT(DATE(YEAR(H28)-(($I28/12)-3),MONTH(H28),DAY(H28)),"dd/mm/yyyy"),", ",Constants!$P$7,TEXT(DATE(YEAR(H28)-(($I28/12)-8),MONTH(H28),DAY(H28)),"dd/mm/yyyy"),", ",Constants!$T$7,TEXT(DATE(YEAR(H28)-(($I28/12)-11),MONTH(H28),DAY(H28)),"dd/mm/yyyy"),", ",Constants!$V$7,TEXT(DATE(YEAR(H28)-(($I28/12)-13),MONTH(H28),DAY(H28)),"dd/mm/yyyy"),", ",Constants!$W$7,TEXT($H28,"dd/mm/yyyy")),IF(($I28/12)=10,_xlfn.CONCAT(Constants!$N$6,TEXT(DATE(YEAR(H28)-(($I28/12)-2),MONTH(H28),DAY(H28)),"dd/mm/yyyy"),", ",Constants!$P$6,TEXT(DATE(YEAR(H28)-(($I28/12)-6),MONTH(H28),DAY(H28)),"dd/mm/yyyy"),", ",Constants!$T$6,TEXT(DATE(YEAR(H28)-(($I28/12)-8),MONTH(H28),DAY(H28)),"dd/mm/yyyy"),", ",Constants!$V$6,TEXT(DATE(YEAR(H28)-(($I28/12)-9),MONTH(H28),DAY(H28)),"dd/mm/yyyy"),", ",Constants!$W$6,TEXT($H28,"dd/mm/yyyy")),IF(($I28/12)=5,_xlfn.CONCAT(Constants!$N$5,TEXT(DATE(YEAR(H28)-(($I28/12)-1),MONTH(H28),DAY(H28)),"dd/mm/yyyy"),", ",Constants!$O$5,TEXT(DATE(YEAR(H28)-(($I28/12)-2),MONTH(H28),DAY(H28)),"dd/mm/yyyy"),", ",Constants!$P$5,TEXT(DATE(YEAR(H28)-(($I28/12)-3),MONTH(H28),DAY(H28)),"dd/mm/yyyy"),", ",Constants!$Q$5,TEXT(DATE(YEAR(H28)-(($I28/12)-4),MONTH(H28),DAY(H28)),"dd/mm/yyyy"),", ",Constants!$R$5,TEXT($H28,"dd/mm/yyyy")),IF(($I28/12)=3,_xlfn.CONCAT(Constants!$N$4,TEXT(DATE(YEAR(H28)-(($I28/12)-1),MONTH(H28),DAY(H28)),"dd/mm/yyyy"),", ",Constants!$O$4,TEXT(DATE(YEAR(H28)-(($I28/12)-2),MONTH(H28),DAY(H28)),"dd/mm/yyyy"),", ",Constants!$P$4,TEXT($H28,"dd/mm/yyyy")),IF(($I28/12)=2,_xlfn.CONCAT(Constants!$N$3,TEXT(DATE(YEAR(H28)-(($I28/12)-1),MONTH(H28),DAY(H28)),"dd/mm/yyyy"),", ",Constants!$O$3,TEXT($H28,"dd/mm/yyyy")),IF(($I28/12)=1,_xlfn.CONCAT(Constants!$N$2,TEXT($H28,"dd/mm/yyyy")),"Update Constants"))))))),"")</f>
        <v>2.5% to 31/01/2026, 1.5% to 31/01/2027</v>
      </c>
      <c r="BC28" s="147">
        <f>_xlfn.IFNA(VALUE(INDEX(Producer!$K:$K,MATCH($D28,Producer!$A:$A,0))),"")</f>
        <v>0</v>
      </c>
      <c r="BD28" s="147" t="str">
        <f>_xlfn.IFNA(INDEX(Producer!$I:$I,MATCH($D28,Producer!$A:$A,0)),"")</f>
        <v>No</v>
      </c>
      <c r="BE28" s="147" t="str">
        <f t="shared" si="8"/>
        <v>Yes</v>
      </c>
      <c r="BF28" s="147"/>
      <c r="BG28" s="147"/>
      <c r="BH28" s="151">
        <f>_xlfn.IFNA(INDEX(Constants!$B:$B,MATCH(BC28,Constants!A:A,0)),"")</f>
        <v>0</v>
      </c>
      <c r="BI28" s="147">
        <f>IF(LEFT(B28,15)="Limited Company",Constants!$D$16,IFERROR(_xlfn.IFNA(IF(C28="Residential",IF(BK28&lt;75,INDEX(Constants!$B:$B,MATCH(VALUE(60)/100,Constants!$A:$A,0)),INDEX(Constants!$B:$B,MATCH(VALUE(BK28)/100,Constants!$A:$A,0))),IF(BK28&lt;60,INDEX(Constants!$C:$C,MATCH(VALUE(60)/100,Constants!$A:$A,0)),INDEX(Constants!$C:$C,MATCH(VALUE(BK28)/100,Constants!$A:$A,0)))),""),""))</f>
        <v>2000000</v>
      </c>
      <c r="BJ28" s="147">
        <f t="shared" si="9"/>
        <v>0</v>
      </c>
      <c r="BK28" s="147">
        <f>_xlfn.IFNA(VALUE(INDEX(Producer!$E:$E,MATCH($D28,Producer!$A:$A,0)))*100,"")</f>
        <v>75</v>
      </c>
      <c r="BL28" s="146" t="str">
        <f>_xlfn.IFNA(IF(IFERROR(FIND("Part &amp; Part",B28),-10)&gt;0,"PP",IF(OR(LEFT(B28,25)="Residential Interest Only",INDEX(Producer!$P:$P,MATCH($D28,Producer!$A:$A,0))="IO",INDEX(Producer!$P:$P,MATCH($D28,Producer!$A:$A,0))="Retirement Interest Only"),"IO",IF($C28="BuyToLet","CI, IO","CI"))),"")</f>
        <v>IO</v>
      </c>
      <c r="BM28" s="152">
        <f>_xlfn.IFNA(IF(BL28="IO",100%,IF(AND(INDEX(Producer!$P:$P,MATCH($D28,Producer!$A:$A,0))="Residential Interest Only Part &amp; Part",BK28=75),80%,IF(C28="BuyToLet",100%,IF(BL28="Interest Only",100%,IF(AND(INDEX(Producer!$P:$P,MATCH($D28,Producer!$A:$A,0))="Residential Interest Only Part &amp; Part",BK28=60),100%,""))))),"")</f>
        <v>1</v>
      </c>
      <c r="BN28" s="218" t="str">
        <f>_xlfn.IFNA(IF(VALUE(INDEX(Producer!$H:$H,MATCH($D28,Producer!$A:$A,0)))=0,"",VALUE(INDEX(Producer!$H:$H,MATCH($D28,Producer!$A:$A,0)))),"")</f>
        <v/>
      </c>
      <c r="BO28" s="153"/>
      <c r="BP28" s="153"/>
      <c r="BQ28" s="219">
        <f t="shared" si="10"/>
        <v>35</v>
      </c>
      <c r="BR28" s="146"/>
      <c r="BS28" s="146"/>
      <c r="BT28" s="146"/>
      <c r="BU28" s="146"/>
      <c r="BV28" s="219">
        <f t="shared" si="11"/>
        <v>199</v>
      </c>
      <c r="BW28" s="146"/>
      <c r="BX28" s="146"/>
      <c r="BY28" s="146" t="str">
        <f t="shared" si="12"/>
        <v>No</v>
      </c>
      <c r="BZ28" s="146" t="str">
        <f t="shared" si="13"/>
        <v>No</v>
      </c>
      <c r="CA28" s="146" t="str">
        <f t="shared" si="14"/>
        <v>No</v>
      </c>
      <c r="CB28" s="146" t="str">
        <f t="shared" si="15"/>
        <v>No</v>
      </c>
      <c r="CC28" s="146" t="str">
        <f>_xlfn.IFNA(IF(INDEX(Producer!$P:$P,MATCH($D28,Producer!$A:$A,0))="Help to Buy","Only available","No"),"")</f>
        <v>No</v>
      </c>
      <c r="CD28" s="146" t="str">
        <f>_xlfn.IFNA(IF(INDEX(Producer!$P:$P,MATCH($D28,Producer!$A:$A,0))="Shared Ownership","Only available","No"),"")</f>
        <v>No</v>
      </c>
      <c r="CE28" s="146" t="str">
        <f>_xlfn.IFNA(IF(INDEX(Producer!$P:$P,MATCH($D28,Producer!$A:$A,0))="Right to Buy","Only available","No"),"")</f>
        <v>No</v>
      </c>
      <c r="CF28" s="146" t="str">
        <f t="shared" si="16"/>
        <v>No</v>
      </c>
      <c r="CG28" s="146" t="str">
        <f>_xlfn.IFNA(IF(INDEX(Producer!$P:$P,MATCH($D28,Producer!$A:$A,0))="Retirement Interest Only","Only available","No"),"")</f>
        <v>No</v>
      </c>
      <c r="CH28" s="146" t="str">
        <f t="shared" si="17"/>
        <v>No</v>
      </c>
      <c r="CI28" s="146" t="str">
        <f>_xlfn.IFNA(IF(INDEX(Producer!$P:$P,MATCH($D28,Producer!$A:$A,0))="Intermediary Holiday Let","Only available","No"),"")</f>
        <v>No</v>
      </c>
      <c r="CJ28" s="146" t="str">
        <f t="shared" si="18"/>
        <v>No</v>
      </c>
      <c r="CK28" s="146" t="str">
        <f>_xlfn.IFNA(IF(OR(INDEX(Producer!$P:$P,MATCH($D28,Producer!$A:$A,0))="Intermediary Small HMO",INDEX(Producer!$P:$P,MATCH($D28,Producer!$A:$A,0))="Intermediary Large HMO"),"Only available","No"),"")</f>
        <v>No</v>
      </c>
      <c r="CL28" s="146" t="str">
        <f t="shared" si="19"/>
        <v>No</v>
      </c>
      <c r="CM28" s="146" t="str">
        <f t="shared" si="20"/>
        <v>No</v>
      </c>
      <c r="CN28" s="146" t="str">
        <f t="shared" si="21"/>
        <v>No</v>
      </c>
      <c r="CO28" s="146" t="str">
        <f t="shared" si="22"/>
        <v>Also available</v>
      </c>
      <c r="CP28" s="146" t="str">
        <f t="shared" si="23"/>
        <v>No</v>
      </c>
      <c r="CQ28" s="146" t="str">
        <f t="shared" si="24"/>
        <v>No</v>
      </c>
      <c r="CR28" s="146" t="str">
        <f t="shared" si="25"/>
        <v>Also available</v>
      </c>
      <c r="CS28" s="146" t="str">
        <f t="shared" si="26"/>
        <v>Only available</v>
      </c>
      <c r="CT28" s="146" t="str">
        <f t="shared" si="27"/>
        <v>No</v>
      </c>
      <c r="CU28" s="146"/>
    </row>
    <row r="29" spans="1:99" ht="16.399999999999999" customHeight="1" x14ac:dyDescent="0.35">
      <c r="A29" s="145" t="str">
        <f t="shared" si="0"/>
        <v>Leeds Building Society</v>
      </c>
      <c r="B29" s="145" t="str">
        <f>_xlfn.IFNA(_xlfn.CONCAT(INDEX(Producer!$P:$P,MATCH($D29,Producer!$A:$A,0))," ",IF(INDEX(Producer!$N:$N,MATCH($D29,Producer!$A:$A,0))="Yes","Green ",""),IF(AND(INDEX(Producer!$L:$L,MATCH($D29,Producer!$A:$A,0))="No",INDEX(Producer!$C:$C,MATCH($D29,Producer!$A:$A,0))="Fixed"),"Flexit ",""),INDEX(Producer!$B:$B,MATCH($D29,Producer!$A:$A,0))," Year ",INDEX(Producer!$C:$C,MATCH($D29,Producer!$A:$A,0))," ",VALUE(INDEX(Producer!$E:$E,MATCH($D29,Producer!$A:$A,0)))*100,"% LTV",IF(INDEX(Producer!$N:$N,MATCH($D29,Producer!$A:$A,0))="Yes"," (EPC A-C)","")," - ",IF(INDEX(Producer!$D:$D,MATCH($D29,Producer!$A:$A,0))="DLY","Daily","Annual")),"")</f>
        <v>Residential Interest Only 2 Year Fixed 85% LTV - Daily</v>
      </c>
      <c r="C29" s="146" t="str">
        <f>_xlfn.IFNA(INDEX(Producer!$Q:$Q,MATCH($D29,Producer!$A:$A,0)),"")</f>
        <v>Residential</v>
      </c>
      <c r="D29" s="146">
        <f>IFERROR(VALUE(MID(Producer!$R$2,IF($D28="",1/0,FIND(_xlfn.CONCAT($D27,$D28),Producer!$R$2)+10),5)),"")</f>
        <v>54198</v>
      </c>
      <c r="E29" s="146" t="str">
        <f t="shared" si="1"/>
        <v>Stepped Fixed</v>
      </c>
      <c r="F29" s="146"/>
      <c r="G29" s="147">
        <f>_xlfn.IFNA(VALUE(INDEX(Producer!$F:$F,MATCH($D29,Producer!$A:$A,0)))*100,"")</f>
        <v>6.69</v>
      </c>
      <c r="H29" s="216">
        <f>_xlfn.IFNA(IFERROR(DATEVALUE(INDEX(Producer!$M:$M,MATCH($D29,Producer!$A:$A,0))),(INDEX(Producer!$M:$M,MATCH($D29,Producer!$A:$A,0)))),"")</f>
        <v>46418</v>
      </c>
      <c r="I29" s="217">
        <f>_xlfn.IFNA(VALUE(INDEX(Producer!$B:$B,MATCH($D29,Producer!$A:$A,0)))*12,"")</f>
        <v>24</v>
      </c>
      <c r="J29" s="146">
        <f>_xlfn.IFNA(IF(C29="Residential",IF(VALUE(INDEX(Producer!$B:$B,MATCH($D29,Producer!$A:$A,0)))&lt;5,Constants!$C$10,""),IF(VALUE(INDEX(Producer!$B:$B,MATCH($D29,Producer!$A:$A,0)))&lt;5,Constants!$C$11,"")),"")</f>
        <v>7.49</v>
      </c>
      <c r="K29" s="216">
        <f>_xlfn.IFNA(IF(($I29)&lt;60,DATE(YEAR(H29)+(5-VALUE(INDEX(Producer!$B:$B,MATCH($D29,Producer!$A:$A,0)))),MONTH(H29),DAY(H29)),""),"")</f>
        <v>47514</v>
      </c>
      <c r="L29" s="153">
        <f t="shared" si="2"/>
        <v>36</v>
      </c>
      <c r="M29" s="146"/>
      <c r="N29" s="148"/>
      <c r="O29" s="148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>
        <f>IF(D29="","",IF(C29="Residential",Constants!$B$10,Constants!$B$11))</f>
        <v>8.24</v>
      </c>
      <c r="AL29" s="146" t="str">
        <f t="shared" si="3"/>
        <v>SVR</v>
      </c>
      <c r="AM29" s="206" t="str">
        <f t="shared" si="4"/>
        <v/>
      </c>
      <c r="AN29" s="146">
        <f t="shared" si="5"/>
        <v>10</v>
      </c>
      <c r="AO29" s="149" t="str">
        <f t="shared" si="6"/>
        <v>Remortgage</v>
      </c>
      <c r="AP29" s="150" t="str">
        <f t="shared" si="7"/>
        <v>ProductTransfer</v>
      </c>
      <c r="AQ29" s="146">
        <f>IFERROR(_xlfn.IFNA(IF($BA29="No",0,IF(INDEX(Constants!B:B,MATCH(($I29/12),Constants!$A:$A,0))=0,0,INDEX(Constants!B:B,MATCH(($I29/12),Constants!$A:$A,0)))),0),"")</f>
        <v>2.5</v>
      </c>
      <c r="AR29" s="146">
        <f>IFERROR(_xlfn.IFNA(IF($BA29="No",0,IF(INDEX(Constants!C:C,MATCH(($I29/12),Constants!$A:$A,0))=0,0,INDEX(Constants!C:C,MATCH(($I29/12),Constants!$A:$A,0)))),0),"")</f>
        <v>1.5</v>
      </c>
      <c r="AS29" s="146">
        <f>IFERROR(_xlfn.IFNA(IF($BA29="No",0,IF(INDEX(Constants!D:D,MATCH(($I29/12),Constants!$A:$A,0))=0,0,INDEX(Constants!D:D,MATCH(($I29/12),Constants!$A:$A,0)))),0),"")</f>
        <v>0</v>
      </c>
      <c r="AT29" s="146">
        <f>IFERROR(_xlfn.IFNA(IF($BA29="No",0,IF(INDEX(Constants!E:E,MATCH(($I29/12),Constants!$A:$A,0))=0,0,INDEX(Constants!E:E,MATCH(($I29/12),Constants!$A:$A,0)))),0),"")</f>
        <v>0</v>
      </c>
      <c r="AU29" s="146">
        <f>IFERROR(_xlfn.IFNA(IF($BA29="No",0,IF(INDEX(Constants!F:F,MATCH(($I29/12),Constants!$A:$A,0))=0,0,INDEX(Constants!F:F,MATCH(($I29/12),Constants!$A:$A,0)))),0),"")</f>
        <v>0</v>
      </c>
      <c r="AV29" s="146">
        <f>IFERROR(_xlfn.IFNA(IF($BA29="No",0,IF(INDEX(Constants!G:G,MATCH(($I29/12),Constants!$A:$A,0))=0,0,INDEX(Constants!G:G,MATCH(($I29/12),Constants!$A:$A,0)))),0),"")</f>
        <v>0</v>
      </c>
      <c r="AW29" s="146">
        <f>IFERROR(_xlfn.IFNA(IF($BA29="No",0,IF(INDEX(Constants!H:H,MATCH(($I29/12),Constants!$A:$A,0))=0,0,INDEX(Constants!H:H,MATCH(($I29/12),Constants!$A:$A,0)))),0),"")</f>
        <v>0</v>
      </c>
      <c r="AX29" s="146">
        <f>IFERROR(_xlfn.IFNA(IF($BA29="No",0,IF(INDEX(Constants!I:I,MATCH(($I29/12),Constants!$A:$A,0))=0,0,INDEX(Constants!I:I,MATCH(($I29/12),Constants!$A:$A,0)))),0),"")</f>
        <v>0</v>
      </c>
      <c r="AY29" s="146">
        <f>IFERROR(_xlfn.IFNA(IF($BA29="No",0,IF(INDEX(Constants!J:J,MATCH(($I29/12),Constants!$A:$A,0))=0,0,INDEX(Constants!J:J,MATCH(($I29/12),Constants!$A:$A,0)))),0),"")</f>
        <v>0</v>
      </c>
      <c r="AZ29" s="146">
        <f>IFERROR(_xlfn.IFNA(IF($BA29="No",0,IF(INDEX(Constants!K:K,MATCH(($I29/12),Constants!$A:$A,0))=0,0,INDEX(Constants!K:K,MATCH(($I29/12),Constants!$A:$A,0)))),0),"")</f>
        <v>0</v>
      </c>
      <c r="BA29" s="147" t="str">
        <f>_xlfn.IFNA(INDEX(Producer!$L:$L,MATCH($D29,Producer!$A:$A,0)),"")</f>
        <v>Yes</v>
      </c>
      <c r="BB29" s="146" t="str">
        <f>IFERROR(IF(AQ29=0,"",IF(($I29/12)=15,_xlfn.CONCAT(Constants!$N$7,TEXT(DATE(YEAR(H29)-(($I29/12)-3),MONTH(H29),DAY(H29)),"dd/mm/yyyy"),", ",Constants!$P$7,TEXT(DATE(YEAR(H29)-(($I29/12)-8),MONTH(H29),DAY(H29)),"dd/mm/yyyy"),", ",Constants!$T$7,TEXT(DATE(YEAR(H29)-(($I29/12)-11),MONTH(H29),DAY(H29)),"dd/mm/yyyy"),", ",Constants!$V$7,TEXT(DATE(YEAR(H29)-(($I29/12)-13),MONTH(H29),DAY(H29)),"dd/mm/yyyy"),", ",Constants!$W$7,TEXT($H29,"dd/mm/yyyy")),IF(($I29/12)=10,_xlfn.CONCAT(Constants!$N$6,TEXT(DATE(YEAR(H29)-(($I29/12)-2),MONTH(H29),DAY(H29)),"dd/mm/yyyy"),", ",Constants!$P$6,TEXT(DATE(YEAR(H29)-(($I29/12)-6),MONTH(H29),DAY(H29)),"dd/mm/yyyy"),", ",Constants!$T$6,TEXT(DATE(YEAR(H29)-(($I29/12)-8),MONTH(H29),DAY(H29)),"dd/mm/yyyy"),", ",Constants!$V$6,TEXT(DATE(YEAR(H29)-(($I29/12)-9),MONTH(H29),DAY(H29)),"dd/mm/yyyy"),", ",Constants!$W$6,TEXT($H29,"dd/mm/yyyy")),IF(($I29/12)=5,_xlfn.CONCAT(Constants!$N$5,TEXT(DATE(YEAR(H29)-(($I29/12)-1),MONTH(H29),DAY(H29)),"dd/mm/yyyy"),", ",Constants!$O$5,TEXT(DATE(YEAR(H29)-(($I29/12)-2),MONTH(H29),DAY(H29)),"dd/mm/yyyy"),", ",Constants!$P$5,TEXT(DATE(YEAR(H29)-(($I29/12)-3),MONTH(H29),DAY(H29)),"dd/mm/yyyy"),", ",Constants!$Q$5,TEXT(DATE(YEAR(H29)-(($I29/12)-4),MONTH(H29),DAY(H29)),"dd/mm/yyyy"),", ",Constants!$R$5,TEXT($H29,"dd/mm/yyyy")),IF(($I29/12)=3,_xlfn.CONCAT(Constants!$N$4,TEXT(DATE(YEAR(H29)-(($I29/12)-1),MONTH(H29),DAY(H29)),"dd/mm/yyyy"),", ",Constants!$O$4,TEXT(DATE(YEAR(H29)-(($I29/12)-2),MONTH(H29),DAY(H29)),"dd/mm/yyyy"),", ",Constants!$P$4,TEXT($H29,"dd/mm/yyyy")),IF(($I29/12)=2,_xlfn.CONCAT(Constants!$N$3,TEXT(DATE(YEAR(H29)-(($I29/12)-1),MONTH(H29),DAY(H29)),"dd/mm/yyyy"),", ",Constants!$O$3,TEXT($H29,"dd/mm/yyyy")),IF(($I29/12)=1,_xlfn.CONCAT(Constants!$N$2,TEXT($H29,"dd/mm/yyyy")),"Update Constants"))))))),"")</f>
        <v>2.5% to 31/01/2026, 1.5% to 31/01/2027</v>
      </c>
      <c r="BC29" s="147">
        <f>_xlfn.IFNA(VALUE(INDEX(Producer!$K:$K,MATCH($D29,Producer!$A:$A,0))),"")</f>
        <v>0</v>
      </c>
      <c r="BD29" s="147" t="str">
        <f>_xlfn.IFNA(INDEX(Producer!$I:$I,MATCH($D29,Producer!$A:$A,0)),"")</f>
        <v>No</v>
      </c>
      <c r="BE29" s="147" t="str">
        <f t="shared" si="8"/>
        <v>Yes</v>
      </c>
      <c r="BF29" s="147"/>
      <c r="BG29" s="147"/>
      <c r="BH29" s="151">
        <f>_xlfn.IFNA(INDEX(Constants!$B:$B,MATCH(BC29,Constants!A:A,0)),"")</f>
        <v>0</v>
      </c>
      <c r="BI29" s="147">
        <f>IF(LEFT(B29,15)="Limited Company",Constants!$D$16,IFERROR(_xlfn.IFNA(IF(C29="Residential",IF(BK29&lt;75,INDEX(Constants!$B:$B,MATCH(VALUE(60)/100,Constants!$A:$A,0)),INDEX(Constants!$B:$B,MATCH(VALUE(BK29)/100,Constants!$A:$A,0))),IF(BK29&lt;60,INDEX(Constants!$C:$C,MATCH(VALUE(60)/100,Constants!$A:$A,0)),INDEX(Constants!$C:$C,MATCH(VALUE(BK29)/100,Constants!$A:$A,0)))),""),""))</f>
        <v>2000000</v>
      </c>
      <c r="BJ29" s="147">
        <f t="shared" si="9"/>
        <v>0</v>
      </c>
      <c r="BK29" s="147">
        <f>_xlfn.IFNA(VALUE(INDEX(Producer!$E:$E,MATCH($D29,Producer!$A:$A,0)))*100,"")</f>
        <v>85</v>
      </c>
      <c r="BL29" s="146" t="str">
        <f>_xlfn.IFNA(IF(IFERROR(FIND("Part &amp; Part",B29),-10)&gt;0,"PP",IF(OR(LEFT(B29,25)="Residential Interest Only",INDEX(Producer!$P:$P,MATCH($D29,Producer!$A:$A,0))="IO",INDEX(Producer!$P:$P,MATCH($D29,Producer!$A:$A,0))="Retirement Interest Only"),"IO",IF($C29="BuyToLet","CI, IO","CI"))),"")</f>
        <v>IO</v>
      </c>
      <c r="BM29" s="152">
        <f>_xlfn.IFNA(IF(BL29="IO",100%,IF(AND(INDEX(Producer!$P:$P,MATCH($D29,Producer!$A:$A,0))="Residential Interest Only Part &amp; Part",BK29=75),80%,IF(C29="BuyToLet",100%,IF(BL29="Interest Only",100%,IF(AND(INDEX(Producer!$P:$P,MATCH($D29,Producer!$A:$A,0))="Residential Interest Only Part &amp; Part",BK29=60),100%,""))))),"")</f>
        <v>1</v>
      </c>
      <c r="BN29" s="218" t="str">
        <f>_xlfn.IFNA(IF(VALUE(INDEX(Producer!$H:$H,MATCH($D29,Producer!$A:$A,0)))=0,"",VALUE(INDEX(Producer!$H:$H,MATCH($D29,Producer!$A:$A,0)))),"")</f>
        <v/>
      </c>
      <c r="BO29" s="153"/>
      <c r="BP29" s="153"/>
      <c r="BQ29" s="219">
        <f t="shared" si="10"/>
        <v>35</v>
      </c>
      <c r="BR29" s="146"/>
      <c r="BS29" s="146"/>
      <c r="BT29" s="146"/>
      <c r="BU29" s="146"/>
      <c r="BV29" s="219">
        <f t="shared" si="11"/>
        <v>199</v>
      </c>
      <c r="BW29" s="146"/>
      <c r="BX29" s="146"/>
      <c r="BY29" s="146" t="str">
        <f t="shared" si="12"/>
        <v>No</v>
      </c>
      <c r="BZ29" s="146" t="str">
        <f t="shared" si="13"/>
        <v>No</v>
      </c>
      <c r="CA29" s="146" t="str">
        <f t="shared" si="14"/>
        <v>No</v>
      </c>
      <c r="CB29" s="146" t="str">
        <f t="shared" si="15"/>
        <v>No</v>
      </c>
      <c r="CC29" s="146" t="str">
        <f>_xlfn.IFNA(IF(INDEX(Producer!$P:$P,MATCH($D29,Producer!$A:$A,0))="Help to Buy","Only available","No"),"")</f>
        <v>No</v>
      </c>
      <c r="CD29" s="146" t="str">
        <f>_xlfn.IFNA(IF(INDEX(Producer!$P:$P,MATCH($D29,Producer!$A:$A,0))="Shared Ownership","Only available","No"),"")</f>
        <v>No</v>
      </c>
      <c r="CE29" s="146" t="str">
        <f>_xlfn.IFNA(IF(INDEX(Producer!$P:$P,MATCH($D29,Producer!$A:$A,0))="Right to Buy","Only available","No"),"")</f>
        <v>No</v>
      </c>
      <c r="CF29" s="146" t="str">
        <f t="shared" si="16"/>
        <v>No</v>
      </c>
      <c r="CG29" s="146" t="str">
        <f>_xlfn.IFNA(IF(INDEX(Producer!$P:$P,MATCH($D29,Producer!$A:$A,0))="Retirement Interest Only","Only available","No"),"")</f>
        <v>No</v>
      </c>
      <c r="CH29" s="146" t="str">
        <f t="shared" si="17"/>
        <v>No</v>
      </c>
      <c r="CI29" s="146" t="str">
        <f>_xlfn.IFNA(IF(INDEX(Producer!$P:$P,MATCH($D29,Producer!$A:$A,0))="Intermediary Holiday Let","Only available","No"),"")</f>
        <v>No</v>
      </c>
      <c r="CJ29" s="146" t="str">
        <f t="shared" si="18"/>
        <v>No</v>
      </c>
      <c r="CK29" s="146" t="str">
        <f>_xlfn.IFNA(IF(OR(INDEX(Producer!$P:$P,MATCH($D29,Producer!$A:$A,0))="Intermediary Small HMO",INDEX(Producer!$P:$P,MATCH($D29,Producer!$A:$A,0))="Intermediary Large HMO"),"Only available","No"),"")</f>
        <v>No</v>
      </c>
      <c r="CL29" s="146" t="str">
        <f t="shared" si="19"/>
        <v>No</v>
      </c>
      <c r="CM29" s="146" t="str">
        <f t="shared" si="20"/>
        <v>No</v>
      </c>
      <c r="CN29" s="146" t="str">
        <f t="shared" si="21"/>
        <v>No</v>
      </c>
      <c r="CO29" s="146" t="str">
        <f t="shared" si="22"/>
        <v>Also available</v>
      </c>
      <c r="CP29" s="146" t="str">
        <f t="shared" si="23"/>
        <v>No</v>
      </c>
      <c r="CQ29" s="146" t="str">
        <f t="shared" si="24"/>
        <v>No</v>
      </c>
      <c r="CR29" s="146" t="str">
        <f t="shared" si="25"/>
        <v>Also available</v>
      </c>
      <c r="CS29" s="146" t="str">
        <f t="shared" si="26"/>
        <v>Only available</v>
      </c>
      <c r="CT29" s="146" t="str">
        <f t="shared" si="27"/>
        <v>No</v>
      </c>
      <c r="CU29" s="146"/>
    </row>
    <row r="30" spans="1:99" ht="16.399999999999999" customHeight="1" x14ac:dyDescent="0.35">
      <c r="A30" s="145" t="str">
        <f t="shared" si="0"/>
        <v>Leeds Building Society</v>
      </c>
      <c r="B30" s="145" t="str">
        <f>_xlfn.IFNA(_xlfn.CONCAT(INDEX(Producer!$P:$P,MATCH($D30,Producer!$A:$A,0))," ",IF(INDEX(Producer!$N:$N,MATCH($D30,Producer!$A:$A,0))="Yes","Green ",""),IF(AND(INDEX(Producer!$L:$L,MATCH($D30,Producer!$A:$A,0))="No",INDEX(Producer!$C:$C,MATCH($D30,Producer!$A:$A,0))="Fixed"),"Flexit ",""),INDEX(Producer!$B:$B,MATCH($D30,Producer!$A:$A,0))," Year ",INDEX(Producer!$C:$C,MATCH($D30,Producer!$A:$A,0))," ",VALUE(INDEX(Producer!$E:$E,MATCH($D30,Producer!$A:$A,0)))*100,"% LTV",IF(INDEX(Producer!$N:$N,MATCH($D30,Producer!$A:$A,0))="Yes"," (EPC A-C)","")," - ",IF(INDEX(Producer!$D:$D,MATCH($D30,Producer!$A:$A,0))="DLY","Daily","Annual")),"")</f>
        <v>Residential Interest Only 5 Year Fixed 65% LTV - Daily</v>
      </c>
      <c r="C30" s="146" t="str">
        <f>_xlfn.IFNA(INDEX(Producer!$Q:$Q,MATCH($D30,Producer!$A:$A,0)),"")</f>
        <v>Residential</v>
      </c>
      <c r="D30" s="146">
        <f>IFERROR(VALUE(MID(Producer!$R$2,IF($D29="",1/0,FIND(_xlfn.CONCAT($D28,$D29),Producer!$R$2)+10),5)),"")</f>
        <v>54195</v>
      </c>
      <c r="E30" s="146" t="str">
        <f t="shared" si="1"/>
        <v>Fixed</v>
      </c>
      <c r="F30" s="146"/>
      <c r="G30" s="147">
        <f>_xlfn.IFNA(VALUE(INDEX(Producer!$F:$F,MATCH($D30,Producer!$A:$A,0)))*100,"")</f>
        <v>4.5900000000000007</v>
      </c>
      <c r="H30" s="216">
        <f>_xlfn.IFNA(IFERROR(DATEVALUE(INDEX(Producer!$M:$M,MATCH($D30,Producer!$A:$A,0))),(INDEX(Producer!$M:$M,MATCH($D30,Producer!$A:$A,0)))),"")</f>
        <v>47514</v>
      </c>
      <c r="I30" s="217">
        <f>_xlfn.IFNA(VALUE(INDEX(Producer!$B:$B,MATCH($D30,Producer!$A:$A,0)))*12,"")</f>
        <v>60</v>
      </c>
      <c r="J30" s="146" t="str">
        <f>_xlfn.IFNA(IF(C30="Residential",IF(VALUE(INDEX(Producer!$B:$B,MATCH($D30,Producer!$A:$A,0)))&lt;5,Constants!$C$10,""),IF(VALUE(INDEX(Producer!$B:$B,MATCH($D30,Producer!$A:$A,0)))&lt;5,Constants!$C$11,"")),"")</f>
        <v/>
      </c>
      <c r="K30" s="216" t="str">
        <f>_xlfn.IFNA(IF(($I30)&lt;60,DATE(YEAR(H30)+(5-VALUE(INDEX(Producer!$B:$B,MATCH($D30,Producer!$A:$A,0)))),MONTH(H30),DAY(H30)),""),"")</f>
        <v/>
      </c>
      <c r="L30" s="153" t="str">
        <f t="shared" si="2"/>
        <v/>
      </c>
      <c r="M30" s="146"/>
      <c r="N30" s="148"/>
      <c r="O30" s="148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>
        <f>IF(D30="","",IF(C30="Residential",Constants!$B$10,Constants!$B$11))</f>
        <v>8.24</v>
      </c>
      <c r="AL30" s="146" t="str">
        <f t="shared" si="3"/>
        <v>SVR</v>
      </c>
      <c r="AM30" s="206" t="str">
        <f t="shared" si="4"/>
        <v/>
      </c>
      <c r="AN30" s="146">
        <f t="shared" si="5"/>
        <v>10</v>
      </c>
      <c r="AO30" s="149" t="str">
        <f t="shared" si="6"/>
        <v>Remortgage</v>
      </c>
      <c r="AP30" s="150" t="str">
        <f t="shared" si="7"/>
        <v>ProductTransfer</v>
      </c>
      <c r="AQ30" s="146">
        <f>IFERROR(_xlfn.IFNA(IF($BA30="No",0,IF(INDEX(Constants!B:B,MATCH(($I30/12),Constants!$A:$A,0))=0,0,INDEX(Constants!B:B,MATCH(($I30/12),Constants!$A:$A,0)))),0),"")</f>
        <v>5</v>
      </c>
      <c r="AR30" s="146">
        <f>IFERROR(_xlfn.IFNA(IF($BA30="No",0,IF(INDEX(Constants!C:C,MATCH(($I30/12),Constants!$A:$A,0))=0,0,INDEX(Constants!C:C,MATCH(($I30/12),Constants!$A:$A,0)))),0),"")</f>
        <v>5</v>
      </c>
      <c r="AS30" s="146">
        <f>IFERROR(_xlfn.IFNA(IF($BA30="No",0,IF(INDEX(Constants!D:D,MATCH(($I30/12),Constants!$A:$A,0))=0,0,INDEX(Constants!D:D,MATCH(($I30/12),Constants!$A:$A,0)))),0),"")</f>
        <v>4</v>
      </c>
      <c r="AT30" s="146">
        <f>IFERROR(_xlfn.IFNA(IF($BA30="No",0,IF(INDEX(Constants!E:E,MATCH(($I30/12),Constants!$A:$A,0))=0,0,INDEX(Constants!E:E,MATCH(($I30/12),Constants!$A:$A,0)))),0),"")</f>
        <v>3</v>
      </c>
      <c r="AU30" s="146">
        <f>IFERROR(_xlfn.IFNA(IF($BA30="No",0,IF(INDEX(Constants!F:F,MATCH(($I30/12),Constants!$A:$A,0))=0,0,INDEX(Constants!F:F,MATCH(($I30/12),Constants!$A:$A,0)))),0),"")</f>
        <v>2</v>
      </c>
      <c r="AV30" s="146">
        <f>IFERROR(_xlfn.IFNA(IF($BA30="No",0,IF(INDEX(Constants!G:G,MATCH(($I30/12),Constants!$A:$A,0))=0,0,INDEX(Constants!G:G,MATCH(($I30/12),Constants!$A:$A,0)))),0),"")</f>
        <v>0</v>
      </c>
      <c r="AW30" s="146">
        <f>IFERROR(_xlfn.IFNA(IF($BA30="No",0,IF(INDEX(Constants!H:H,MATCH(($I30/12),Constants!$A:$A,0))=0,0,INDEX(Constants!H:H,MATCH(($I30/12),Constants!$A:$A,0)))),0),"")</f>
        <v>0</v>
      </c>
      <c r="AX30" s="146">
        <f>IFERROR(_xlfn.IFNA(IF($BA30="No",0,IF(INDEX(Constants!I:I,MATCH(($I30/12),Constants!$A:$A,0))=0,0,INDEX(Constants!I:I,MATCH(($I30/12),Constants!$A:$A,0)))),0),"")</f>
        <v>0</v>
      </c>
      <c r="AY30" s="146">
        <f>IFERROR(_xlfn.IFNA(IF($BA30="No",0,IF(INDEX(Constants!J:J,MATCH(($I30/12),Constants!$A:$A,0))=0,0,INDEX(Constants!J:J,MATCH(($I30/12),Constants!$A:$A,0)))),0),"")</f>
        <v>0</v>
      </c>
      <c r="AZ30" s="146">
        <f>IFERROR(_xlfn.IFNA(IF($BA30="No",0,IF(INDEX(Constants!K:K,MATCH(($I30/12),Constants!$A:$A,0))=0,0,INDEX(Constants!K:K,MATCH(($I30/12),Constants!$A:$A,0)))),0),"")</f>
        <v>0</v>
      </c>
      <c r="BA30" s="147" t="str">
        <f>_xlfn.IFNA(INDEX(Producer!$L:$L,MATCH($D30,Producer!$A:$A,0)),"")</f>
        <v>Yes</v>
      </c>
      <c r="BB30" s="146" t="str">
        <f>IFERROR(IF(AQ30=0,"",IF(($I30/12)=15,_xlfn.CONCAT(Constants!$N$7,TEXT(DATE(YEAR(H30)-(($I30/12)-3),MONTH(H30),DAY(H30)),"dd/mm/yyyy"),", ",Constants!$P$7,TEXT(DATE(YEAR(H30)-(($I30/12)-8),MONTH(H30),DAY(H30)),"dd/mm/yyyy"),", ",Constants!$T$7,TEXT(DATE(YEAR(H30)-(($I30/12)-11),MONTH(H30),DAY(H30)),"dd/mm/yyyy"),", ",Constants!$V$7,TEXT(DATE(YEAR(H30)-(($I30/12)-13),MONTH(H30),DAY(H30)),"dd/mm/yyyy"),", ",Constants!$W$7,TEXT($H30,"dd/mm/yyyy")),IF(($I30/12)=10,_xlfn.CONCAT(Constants!$N$6,TEXT(DATE(YEAR(H30)-(($I30/12)-2),MONTH(H30),DAY(H30)),"dd/mm/yyyy"),", ",Constants!$P$6,TEXT(DATE(YEAR(H30)-(($I30/12)-6),MONTH(H30),DAY(H30)),"dd/mm/yyyy"),", ",Constants!$T$6,TEXT(DATE(YEAR(H30)-(($I30/12)-8),MONTH(H30),DAY(H30)),"dd/mm/yyyy"),", ",Constants!$V$6,TEXT(DATE(YEAR(H30)-(($I30/12)-9),MONTH(H30),DAY(H30)),"dd/mm/yyyy"),", ",Constants!$W$6,TEXT($H30,"dd/mm/yyyy")),IF(($I30/12)=5,_xlfn.CONCAT(Constants!$N$5,TEXT(DATE(YEAR(H30)-(($I30/12)-1),MONTH(H30),DAY(H30)),"dd/mm/yyyy"),", ",Constants!$O$5,TEXT(DATE(YEAR(H30)-(($I30/12)-2),MONTH(H30),DAY(H30)),"dd/mm/yyyy"),", ",Constants!$P$5,TEXT(DATE(YEAR(H30)-(($I30/12)-3),MONTH(H30),DAY(H30)),"dd/mm/yyyy"),", ",Constants!$Q$5,TEXT(DATE(YEAR(H30)-(($I30/12)-4),MONTH(H30),DAY(H30)),"dd/mm/yyyy"),", ",Constants!$R$5,TEXT($H30,"dd/mm/yyyy")),IF(($I30/12)=3,_xlfn.CONCAT(Constants!$N$4,TEXT(DATE(YEAR(H30)-(($I30/12)-1),MONTH(H30),DAY(H30)),"dd/mm/yyyy"),", ",Constants!$O$4,TEXT(DATE(YEAR(H30)-(($I30/12)-2),MONTH(H30),DAY(H30)),"dd/mm/yyyy"),", ",Constants!$P$4,TEXT($H30,"dd/mm/yyyy")),IF(($I30/12)=2,_xlfn.CONCAT(Constants!$N$3,TEXT(DATE(YEAR(H30)-(($I30/12)-1),MONTH(H30),DAY(H30)),"dd/mm/yyyy"),", ",Constants!$O$3,TEXT($H30,"dd/mm/yyyy")),IF(($I30/12)=1,_xlfn.CONCAT(Constants!$N$2,TEXT($H30,"dd/mm/yyyy")),"Update Constants"))))))),"")</f>
        <v>5% to 31/01/2026, 5% to 31/01/2027, 4% to 31/01/2028, 3% to 31/01/2029, 2% to 31/01/2030</v>
      </c>
      <c r="BC30" s="147">
        <f>_xlfn.IFNA(VALUE(INDEX(Producer!$K:$K,MATCH($D30,Producer!$A:$A,0))),"")</f>
        <v>0</v>
      </c>
      <c r="BD30" s="147" t="str">
        <f>_xlfn.IFNA(INDEX(Producer!$I:$I,MATCH($D30,Producer!$A:$A,0)),"")</f>
        <v>No</v>
      </c>
      <c r="BE30" s="147" t="str">
        <f t="shared" si="8"/>
        <v>Yes</v>
      </c>
      <c r="BF30" s="147"/>
      <c r="BG30" s="147"/>
      <c r="BH30" s="151">
        <f>_xlfn.IFNA(INDEX(Constants!$B:$B,MATCH(BC30,Constants!A:A,0)),"")</f>
        <v>0</v>
      </c>
      <c r="BI30" s="147">
        <f>IF(LEFT(B30,15)="Limited Company",Constants!$D$16,IFERROR(_xlfn.IFNA(IF(C30="Residential",IF(BK30&lt;75,INDEX(Constants!$B:$B,MATCH(VALUE(60)/100,Constants!$A:$A,0)),INDEX(Constants!$B:$B,MATCH(VALUE(BK30)/100,Constants!$A:$A,0))),IF(BK30&lt;60,INDEX(Constants!$C:$C,MATCH(VALUE(60)/100,Constants!$A:$A,0)),INDEX(Constants!$C:$C,MATCH(VALUE(BK30)/100,Constants!$A:$A,0)))),""),""))</f>
        <v>2000000</v>
      </c>
      <c r="BJ30" s="147">
        <f t="shared" si="9"/>
        <v>0</v>
      </c>
      <c r="BK30" s="147">
        <f>_xlfn.IFNA(VALUE(INDEX(Producer!$E:$E,MATCH($D30,Producer!$A:$A,0)))*100,"")</f>
        <v>65</v>
      </c>
      <c r="BL30" s="146" t="str">
        <f>_xlfn.IFNA(IF(IFERROR(FIND("Part &amp; Part",B30),-10)&gt;0,"PP",IF(OR(LEFT(B30,25)="Residential Interest Only",INDEX(Producer!$P:$P,MATCH($D30,Producer!$A:$A,0))="IO",INDEX(Producer!$P:$P,MATCH($D30,Producer!$A:$A,0))="Retirement Interest Only"),"IO",IF($C30="BuyToLet","CI, IO","CI"))),"")</f>
        <v>IO</v>
      </c>
      <c r="BM30" s="152">
        <f>_xlfn.IFNA(IF(BL30="IO",100%,IF(AND(INDEX(Producer!$P:$P,MATCH($D30,Producer!$A:$A,0))="Residential Interest Only Part &amp; Part",BK30=75),80%,IF(C30="BuyToLet",100%,IF(BL30="Interest Only",100%,IF(AND(INDEX(Producer!$P:$P,MATCH($D30,Producer!$A:$A,0))="Residential Interest Only Part &amp; Part",BK30=60),100%,""))))),"")</f>
        <v>1</v>
      </c>
      <c r="BN30" s="218">
        <f>_xlfn.IFNA(IF(VALUE(INDEX(Producer!$H:$H,MATCH($D30,Producer!$A:$A,0)))=0,"",VALUE(INDEX(Producer!$H:$H,MATCH($D30,Producer!$A:$A,0)))),"")</f>
        <v>999</v>
      </c>
      <c r="BO30" s="153"/>
      <c r="BP30" s="153"/>
      <c r="BQ30" s="219">
        <f t="shared" si="10"/>
        <v>35</v>
      </c>
      <c r="BR30" s="146"/>
      <c r="BS30" s="146"/>
      <c r="BT30" s="146"/>
      <c r="BU30" s="146"/>
      <c r="BV30" s="219">
        <f t="shared" si="11"/>
        <v>199</v>
      </c>
      <c r="BW30" s="146"/>
      <c r="BX30" s="146"/>
      <c r="BY30" s="146" t="str">
        <f t="shared" si="12"/>
        <v>No</v>
      </c>
      <c r="BZ30" s="146" t="str">
        <f t="shared" si="13"/>
        <v>No</v>
      </c>
      <c r="CA30" s="146" t="str">
        <f t="shared" si="14"/>
        <v>No</v>
      </c>
      <c r="CB30" s="146" t="str">
        <f t="shared" si="15"/>
        <v>No</v>
      </c>
      <c r="CC30" s="146" t="str">
        <f>_xlfn.IFNA(IF(INDEX(Producer!$P:$P,MATCH($D30,Producer!$A:$A,0))="Help to Buy","Only available","No"),"")</f>
        <v>No</v>
      </c>
      <c r="CD30" s="146" t="str">
        <f>_xlfn.IFNA(IF(INDEX(Producer!$P:$P,MATCH($D30,Producer!$A:$A,0))="Shared Ownership","Only available","No"),"")</f>
        <v>No</v>
      </c>
      <c r="CE30" s="146" t="str">
        <f>_xlfn.IFNA(IF(INDEX(Producer!$P:$P,MATCH($D30,Producer!$A:$A,0))="Right to Buy","Only available","No"),"")</f>
        <v>No</v>
      </c>
      <c r="CF30" s="146" t="str">
        <f t="shared" si="16"/>
        <v>No</v>
      </c>
      <c r="CG30" s="146" t="str">
        <f>_xlfn.IFNA(IF(INDEX(Producer!$P:$P,MATCH($D30,Producer!$A:$A,0))="Retirement Interest Only","Only available","No"),"")</f>
        <v>No</v>
      </c>
      <c r="CH30" s="146" t="str">
        <f t="shared" si="17"/>
        <v>No</v>
      </c>
      <c r="CI30" s="146" t="str">
        <f>_xlfn.IFNA(IF(INDEX(Producer!$P:$P,MATCH($D30,Producer!$A:$A,0))="Intermediary Holiday Let","Only available","No"),"")</f>
        <v>No</v>
      </c>
      <c r="CJ30" s="146" t="str">
        <f t="shared" si="18"/>
        <v>No</v>
      </c>
      <c r="CK30" s="146" t="str">
        <f>_xlfn.IFNA(IF(OR(INDEX(Producer!$P:$P,MATCH($D30,Producer!$A:$A,0))="Intermediary Small HMO",INDEX(Producer!$P:$P,MATCH($D30,Producer!$A:$A,0))="Intermediary Large HMO"),"Only available","No"),"")</f>
        <v>No</v>
      </c>
      <c r="CL30" s="146" t="str">
        <f t="shared" si="19"/>
        <v>No</v>
      </c>
      <c r="CM30" s="146" t="str">
        <f t="shared" si="20"/>
        <v>No</v>
      </c>
      <c r="CN30" s="146" t="str">
        <f t="shared" si="21"/>
        <v>No</v>
      </c>
      <c r="CO30" s="146" t="str">
        <f t="shared" si="22"/>
        <v>Also available</v>
      </c>
      <c r="CP30" s="146" t="str">
        <f t="shared" si="23"/>
        <v>No</v>
      </c>
      <c r="CQ30" s="146" t="str">
        <f t="shared" si="24"/>
        <v>No</v>
      </c>
      <c r="CR30" s="146" t="str">
        <f t="shared" si="25"/>
        <v>Also available</v>
      </c>
      <c r="CS30" s="146" t="str">
        <f t="shared" si="26"/>
        <v>Only available</v>
      </c>
      <c r="CT30" s="146" t="str">
        <f t="shared" si="27"/>
        <v>No</v>
      </c>
      <c r="CU30" s="146"/>
    </row>
    <row r="31" spans="1:99" ht="16.399999999999999" customHeight="1" x14ac:dyDescent="0.35">
      <c r="A31" s="145" t="str">
        <f t="shared" si="0"/>
        <v>Leeds Building Society</v>
      </c>
      <c r="B31" s="145" t="str">
        <f>_xlfn.IFNA(_xlfn.CONCAT(INDEX(Producer!$P:$P,MATCH($D31,Producer!$A:$A,0))," ",IF(INDEX(Producer!$N:$N,MATCH($D31,Producer!$A:$A,0))="Yes","Green ",""),IF(AND(INDEX(Producer!$L:$L,MATCH($D31,Producer!$A:$A,0))="No",INDEX(Producer!$C:$C,MATCH($D31,Producer!$A:$A,0))="Fixed"),"Flexit ",""),INDEX(Producer!$B:$B,MATCH($D31,Producer!$A:$A,0))," Year ",INDEX(Producer!$C:$C,MATCH($D31,Producer!$A:$A,0))," ",VALUE(INDEX(Producer!$E:$E,MATCH($D31,Producer!$A:$A,0)))*100,"% LTV",IF(INDEX(Producer!$N:$N,MATCH($D31,Producer!$A:$A,0))="Yes"," (EPC A-C)","")," - ",IF(INDEX(Producer!$D:$D,MATCH($D31,Producer!$A:$A,0))="DLY","Daily","Annual")),"")</f>
        <v>Residential Interest Only 5 Year Fixed 75% LTV - Daily</v>
      </c>
      <c r="C31" s="146" t="str">
        <f>_xlfn.IFNA(INDEX(Producer!$Q:$Q,MATCH($D31,Producer!$A:$A,0)),"")</f>
        <v>Residential</v>
      </c>
      <c r="D31" s="146">
        <f>IFERROR(VALUE(MID(Producer!$R$2,IF($D30="",1/0,FIND(_xlfn.CONCAT($D29,$D30),Producer!$R$2)+10),5)),"")</f>
        <v>54199</v>
      </c>
      <c r="E31" s="146" t="str">
        <f t="shared" si="1"/>
        <v>Fixed</v>
      </c>
      <c r="F31" s="146"/>
      <c r="G31" s="147">
        <f>_xlfn.IFNA(VALUE(INDEX(Producer!$F:$F,MATCH($D31,Producer!$A:$A,0)))*100,"")</f>
        <v>4.79</v>
      </c>
      <c r="H31" s="216">
        <f>_xlfn.IFNA(IFERROR(DATEVALUE(INDEX(Producer!$M:$M,MATCH($D31,Producer!$A:$A,0))),(INDEX(Producer!$M:$M,MATCH($D31,Producer!$A:$A,0)))),"")</f>
        <v>47514</v>
      </c>
      <c r="I31" s="217">
        <f>_xlfn.IFNA(VALUE(INDEX(Producer!$B:$B,MATCH($D31,Producer!$A:$A,0)))*12,"")</f>
        <v>60</v>
      </c>
      <c r="J31" s="146" t="str">
        <f>_xlfn.IFNA(IF(C31="Residential",IF(VALUE(INDEX(Producer!$B:$B,MATCH($D31,Producer!$A:$A,0)))&lt;5,Constants!$C$10,""),IF(VALUE(INDEX(Producer!$B:$B,MATCH($D31,Producer!$A:$A,0)))&lt;5,Constants!$C$11,"")),"")</f>
        <v/>
      </c>
      <c r="K31" s="216" t="str">
        <f>_xlfn.IFNA(IF(($I31)&lt;60,DATE(YEAR(H31)+(5-VALUE(INDEX(Producer!$B:$B,MATCH($D31,Producer!$A:$A,0)))),MONTH(H31),DAY(H31)),""),"")</f>
        <v/>
      </c>
      <c r="L31" s="153" t="str">
        <f t="shared" si="2"/>
        <v/>
      </c>
      <c r="M31" s="146"/>
      <c r="N31" s="148"/>
      <c r="O31" s="148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>
        <f>IF(D31="","",IF(C31="Residential",Constants!$B$10,Constants!$B$11))</f>
        <v>8.24</v>
      </c>
      <c r="AL31" s="146" t="str">
        <f t="shared" si="3"/>
        <v>SVR</v>
      </c>
      <c r="AM31" s="206" t="str">
        <f t="shared" si="4"/>
        <v/>
      </c>
      <c r="AN31" s="146">
        <f t="shared" si="5"/>
        <v>10</v>
      </c>
      <c r="AO31" s="149" t="str">
        <f t="shared" si="6"/>
        <v>Remortgage</v>
      </c>
      <c r="AP31" s="150" t="str">
        <f t="shared" si="7"/>
        <v>ProductTransfer</v>
      </c>
      <c r="AQ31" s="146">
        <f>IFERROR(_xlfn.IFNA(IF($BA31="No",0,IF(INDEX(Constants!B:B,MATCH(($I31/12),Constants!$A:$A,0))=0,0,INDEX(Constants!B:B,MATCH(($I31/12),Constants!$A:$A,0)))),0),"")</f>
        <v>5</v>
      </c>
      <c r="AR31" s="146">
        <f>IFERROR(_xlfn.IFNA(IF($BA31="No",0,IF(INDEX(Constants!C:C,MATCH(($I31/12),Constants!$A:$A,0))=0,0,INDEX(Constants!C:C,MATCH(($I31/12),Constants!$A:$A,0)))),0),"")</f>
        <v>5</v>
      </c>
      <c r="AS31" s="146">
        <f>IFERROR(_xlfn.IFNA(IF($BA31="No",0,IF(INDEX(Constants!D:D,MATCH(($I31/12),Constants!$A:$A,0))=0,0,INDEX(Constants!D:D,MATCH(($I31/12),Constants!$A:$A,0)))),0),"")</f>
        <v>4</v>
      </c>
      <c r="AT31" s="146">
        <f>IFERROR(_xlfn.IFNA(IF($BA31="No",0,IF(INDEX(Constants!E:E,MATCH(($I31/12),Constants!$A:$A,0))=0,0,INDEX(Constants!E:E,MATCH(($I31/12),Constants!$A:$A,0)))),0),"")</f>
        <v>3</v>
      </c>
      <c r="AU31" s="146">
        <f>IFERROR(_xlfn.IFNA(IF($BA31="No",0,IF(INDEX(Constants!F:F,MATCH(($I31/12),Constants!$A:$A,0))=0,0,INDEX(Constants!F:F,MATCH(($I31/12),Constants!$A:$A,0)))),0),"")</f>
        <v>2</v>
      </c>
      <c r="AV31" s="146">
        <f>IFERROR(_xlfn.IFNA(IF($BA31="No",0,IF(INDEX(Constants!G:G,MATCH(($I31/12),Constants!$A:$A,0))=0,0,INDEX(Constants!G:G,MATCH(($I31/12),Constants!$A:$A,0)))),0),"")</f>
        <v>0</v>
      </c>
      <c r="AW31" s="146">
        <f>IFERROR(_xlfn.IFNA(IF($BA31="No",0,IF(INDEX(Constants!H:H,MATCH(($I31/12),Constants!$A:$A,0))=0,0,INDEX(Constants!H:H,MATCH(($I31/12),Constants!$A:$A,0)))),0),"")</f>
        <v>0</v>
      </c>
      <c r="AX31" s="146">
        <f>IFERROR(_xlfn.IFNA(IF($BA31="No",0,IF(INDEX(Constants!I:I,MATCH(($I31/12),Constants!$A:$A,0))=0,0,INDEX(Constants!I:I,MATCH(($I31/12),Constants!$A:$A,0)))),0),"")</f>
        <v>0</v>
      </c>
      <c r="AY31" s="146">
        <f>IFERROR(_xlfn.IFNA(IF($BA31="No",0,IF(INDEX(Constants!J:J,MATCH(($I31/12),Constants!$A:$A,0))=0,0,INDEX(Constants!J:J,MATCH(($I31/12),Constants!$A:$A,0)))),0),"")</f>
        <v>0</v>
      </c>
      <c r="AZ31" s="146">
        <f>IFERROR(_xlfn.IFNA(IF($BA31="No",0,IF(INDEX(Constants!K:K,MATCH(($I31/12),Constants!$A:$A,0))=0,0,INDEX(Constants!K:K,MATCH(($I31/12),Constants!$A:$A,0)))),0),"")</f>
        <v>0</v>
      </c>
      <c r="BA31" s="147" t="str">
        <f>_xlfn.IFNA(INDEX(Producer!$L:$L,MATCH($D31,Producer!$A:$A,0)),"")</f>
        <v>Yes</v>
      </c>
      <c r="BB31" s="146" t="str">
        <f>IFERROR(IF(AQ31=0,"",IF(($I31/12)=15,_xlfn.CONCAT(Constants!$N$7,TEXT(DATE(YEAR(H31)-(($I31/12)-3),MONTH(H31),DAY(H31)),"dd/mm/yyyy"),", ",Constants!$P$7,TEXT(DATE(YEAR(H31)-(($I31/12)-8),MONTH(H31),DAY(H31)),"dd/mm/yyyy"),", ",Constants!$T$7,TEXT(DATE(YEAR(H31)-(($I31/12)-11),MONTH(H31),DAY(H31)),"dd/mm/yyyy"),", ",Constants!$V$7,TEXT(DATE(YEAR(H31)-(($I31/12)-13),MONTH(H31),DAY(H31)),"dd/mm/yyyy"),", ",Constants!$W$7,TEXT($H31,"dd/mm/yyyy")),IF(($I31/12)=10,_xlfn.CONCAT(Constants!$N$6,TEXT(DATE(YEAR(H31)-(($I31/12)-2),MONTH(H31),DAY(H31)),"dd/mm/yyyy"),", ",Constants!$P$6,TEXT(DATE(YEAR(H31)-(($I31/12)-6),MONTH(H31),DAY(H31)),"dd/mm/yyyy"),", ",Constants!$T$6,TEXT(DATE(YEAR(H31)-(($I31/12)-8),MONTH(H31),DAY(H31)),"dd/mm/yyyy"),", ",Constants!$V$6,TEXT(DATE(YEAR(H31)-(($I31/12)-9),MONTH(H31),DAY(H31)),"dd/mm/yyyy"),", ",Constants!$W$6,TEXT($H31,"dd/mm/yyyy")),IF(($I31/12)=5,_xlfn.CONCAT(Constants!$N$5,TEXT(DATE(YEAR(H31)-(($I31/12)-1),MONTH(H31),DAY(H31)),"dd/mm/yyyy"),", ",Constants!$O$5,TEXT(DATE(YEAR(H31)-(($I31/12)-2),MONTH(H31),DAY(H31)),"dd/mm/yyyy"),", ",Constants!$P$5,TEXT(DATE(YEAR(H31)-(($I31/12)-3),MONTH(H31),DAY(H31)),"dd/mm/yyyy"),", ",Constants!$Q$5,TEXT(DATE(YEAR(H31)-(($I31/12)-4),MONTH(H31),DAY(H31)),"dd/mm/yyyy"),", ",Constants!$R$5,TEXT($H31,"dd/mm/yyyy")),IF(($I31/12)=3,_xlfn.CONCAT(Constants!$N$4,TEXT(DATE(YEAR(H31)-(($I31/12)-1),MONTH(H31),DAY(H31)),"dd/mm/yyyy"),", ",Constants!$O$4,TEXT(DATE(YEAR(H31)-(($I31/12)-2),MONTH(H31),DAY(H31)),"dd/mm/yyyy"),", ",Constants!$P$4,TEXT($H31,"dd/mm/yyyy")),IF(($I31/12)=2,_xlfn.CONCAT(Constants!$N$3,TEXT(DATE(YEAR(H31)-(($I31/12)-1),MONTH(H31),DAY(H31)),"dd/mm/yyyy"),", ",Constants!$O$3,TEXT($H31,"dd/mm/yyyy")),IF(($I31/12)=1,_xlfn.CONCAT(Constants!$N$2,TEXT($H31,"dd/mm/yyyy")),"Update Constants"))))))),"")</f>
        <v>5% to 31/01/2026, 5% to 31/01/2027, 4% to 31/01/2028, 3% to 31/01/2029, 2% to 31/01/2030</v>
      </c>
      <c r="BC31" s="147">
        <f>_xlfn.IFNA(VALUE(INDEX(Producer!$K:$K,MATCH($D31,Producer!$A:$A,0))),"")</f>
        <v>0</v>
      </c>
      <c r="BD31" s="147" t="str">
        <f>_xlfn.IFNA(INDEX(Producer!$I:$I,MATCH($D31,Producer!$A:$A,0)),"")</f>
        <v>No</v>
      </c>
      <c r="BE31" s="147" t="str">
        <f t="shared" si="8"/>
        <v>Yes</v>
      </c>
      <c r="BF31" s="147"/>
      <c r="BG31" s="147"/>
      <c r="BH31" s="151">
        <f>_xlfn.IFNA(INDEX(Constants!$B:$B,MATCH(BC31,Constants!A:A,0)),"")</f>
        <v>0</v>
      </c>
      <c r="BI31" s="147">
        <f>IF(LEFT(B31,15)="Limited Company",Constants!$D$16,IFERROR(_xlfn.IFNA(IF(C31="Residential",IF(BK31&lt;75,INDEX(Constants!$B:$B,MATCH(VALUE(60)/100,Constants!$A:$A,0)),INDEX(Constants!$B:$B,MATCH(VALUE(BK31)/100,Constants!$A:$A,0))),IF(BK31&lt;60,INDEX(Constants!$C:$C,MATCH(VALUE(60)/100,Constants!$A:$A,0)),INDEX(Constants!$C:$C,MATCH(VALUE(BK31)/100,Constants!$A:$A,0)))),""),""))</f>
        <v>2000000</v>
      </c>
      <c r="BJ31" s="147">
        <f t="shared" si="9"/>
        <v>0</v>
      </c>
      <c r="BK31" s="147">
        <f>_xlfn.IFNA(VALUE(INDEX(Producer!$E:$E,MATCH($D31,Producer!$A:$A,0)))*100,"")</f>
        <v>75</v>
      </c>
      <c r="BL31" s="146" t="str">
        <f>_xlfn.IFNA(IF(IFERROR(FIND("Part &amp; Part",B31),-10)&gt;0,"PP",IF(OR(LEFT(B31,25)="Residential Interest Only",INDEX(Producer!$P:$P,MATCH($D31,Producer!$A:$A,0))="IO",INDEX(Producer!$P:$P,MATCH($D31,Producer!$A:$A,0))="Retirement Interest Only"),"IO",IF($C31="BuyToLet","CI, IO","CI"))),"")</f>
        <v>IO</v>
      </c>
      <c r="BM31" s="152">
        <f>_xlfn.IFNA(IF(BL31="IO",100%,IF(AND(INDEX(Producer!$P:$P,MATCH($D31,Producer!$A:$A,0))="Residential Interest Only Part &amp; Part",BK31=75),80%,IF(C31="BuyToLet",100%,IF(BL31="Interest Only",100%,IF(AND(INDEX(Producer!$P:$P,MATCH($D31,Producer!$A:$A,0))="Residential Interest Only Part &amp; Part",BK31=60),100%,""))))),"")</f>
        <v>1</v>
      </c>
      <c r="BN31" s="218" t="str">
        <f>_xlfn.IFNA(IF(VALUE(INDEX(Producer!$H:$H,MATCH($D31,Producer!$A:$A,0)))=0,"",VALUE(INDEX(Producer!$H:$H,MATCH($D31,Producer!$A:$A,0)))),"")</f>
        <v/>
      </c>
      <c r="BO31" s="153"/>
      <c r="BP31" s="153"/>
      <c r="BQ31" s="219">
        <f t="shared" si="10"/>
        <v>35</v>
      </c>
      <c r="BR31" s="146"/>
      <c r="BS31" s="146"/>
      <c r="BT31" s="146"/>
      <c r="BU31" s="146"/>
      <c r="BV31" s="219">
        <f t="shared" si="11"/>
        <v>199</v>
      </c>
      <c r="BW31" s="146"/>
      <c r="BX31" s="146"/>
      <c r="BY31" s="146" t="str">
        <f t="shared" si="12"/>
        <v>No</v>
      </c>
      <c r="BZ31" s="146" t="str">
        <f t="shared" si="13"/>
        <v>No</v>
      </c>
      <c r="CA31" s="146" t="str">
        <f t="shared" si="14"/>
        <v>No</v>
      </c>
      <c r="CB31" s="146" t="str">
        <f t="shared" si="15"/>
        <v>No</v>
      </c>
      <c r="CC31" s="146" t="str">
        <f>_xlfn.IFNA(IF(INDEX(Producer!$P:$P,MATCH($D31,Producer!$A:$A,0))="Help to Buy","Only available","No"),"")</f>
        <v>No</v>
      </c>
      <c r="CD31" s="146" t="str">
        <f>_xlfn.IFNA(IF(INDEX(Producer!$P:$P,MATCH($D31,Producer!$A:$A,0))="Shared Ownership","Only available","No"),"")</f>
        <v>No</v>
      </c>
      <c r="CE31" s="146" t="str">
        <f>_xlfn.IFNA(IF(INDEX(Producer!$P:$P,MATCH($D31,Producer!$A:$A,0))="Right to Buy","Only available","No"),"")</f>
        <v>No</v>
      </c>
      <c r="CF31" s="146" t="str">
        <f t="shared" si="16"/>
        <v>No</v>
      </c>
      <c r="CG31" s="146" t="str">
        <f>_xlfn.IFNA(IF(INDEX(Producer!$P:$P,MATCH($D31,Producer!$A:$A,0))="Retirement Interest Only","Only available","No"),"")</f>
        <v>No</v>
      </c>
      <c r="CH31" s="146" t="str">
        <f t="shared" si="17"/>
        <v>No</v>
      </c>
      <c r="CI31" s="146" t="str">
        <f>_xlfn.IFNA(IF(INDEX(Producer!$P:$P,MATCH($D31,Producer!$A:$A,0))="Intermediary Holiday Let","Only available","No"),"")</f>
        <v>No</v>
      </c>
      <c r="CJ31" s="146" t="str">
        <f t="shared" si="18"/>
        <v>No</v>
      </c>
      <c r="CK31" s="146" t="str">
        <f>_xlfn.IFNA(IF(OR(INDEX(Producer!$P:$P,MATCH($D31,Producer!$A:$A,0))="Intermediary Small HMO",INDEX(Producer!$P:$P,MATCH($D31,Producer!$A:$A,0))="Intermediary Large HMO"),"Only available","No"),"")</f>
        <v>No</v>
      </c>
      <c r="CL31" s="146" t="str">
        <f t="shared" si="19"/>
        <v>No</v>
      </c>
      <c r="CM31" s="146" t="str">
        <f t="shared" si="20"/>
        <v>No</v>
      </c>
      <c r="CN31" s="146" t="str">
        <f t="shared" si="21"/>
        <v>No</v>
      </c>
      <c r="CO31" s="146" t="str">
        <f t="shared" si="22"/>
        <v>Also available</v>
      </c>
      <c r="CP31" s="146" t="str">
        <f t="shared" si="23"/>
        <v>No</v>
      </c>
      <c r="CQ31" s="146" t="str">
        <f t="shared" si="24"/>
        <v>No</v>
      </c>
      <c r="CR31" s="146" t="str">
        <f t="shared" si="25"/>
        <v>Also available</v>
      </c>
      <c r="CS31" s="146" t="str">
        <f t="shared" si="26"/>
        <v>Only available</v>
      </c>
      <c r="CT31" s="146" t="str">
        <f t="shared" si="27"/>
        <v>No</v>
      </c>
      <c r="CU31" s="146"/>
    </row>
    <row r="32" spans="1:99" ht="16.399999999999999" customHeight="1" x14ac:dyDescent="0.35">
      <c r="A32" s="145" t="str">
        <f t="shared" si="0"/>
        <v>Leeds Building Society</v>
      </c>
      <c r="B32" s="145" t="str">
        <f>_xlfn.IFNA(_xlfn.CONCAT(INDEX(Producer!$P:$P,MATCH($D32,Producer!$A:$A,0))," ",IF(INDEX(Producer!$N:$N,MATCH($D32,Producer!$A:$A,0))="Yes","Green ",""),IF(AND(INDEX(Producer!$L:$L,MATCH($D32,Producer!$A:$A,0))="No",INDEX(Producer!$C:$C,MATCH($D32,Producer!$A:$A,0))="Fixed"),"Flexit ",""),INDEX(Producer!$B:$B,MATCH($D32,Producer!$A:$A,0))," Year ",INDEX(Producer!$C:$C,MATCH($D32,Producer!$A:$A,0))," ",VALUE(INDEX(Producer!$E:$E,MATCH($D32,Producer!$A:$A,0)))*100,"% LTV",IF(INDEX(Producer!$N:$N,MATCH($D32,Producer!$A:$A,0))="Yes"," (EPC A-C)","")," - ",IF(INDEX(Producer!$D:$D,MATCH($D32,Producer!$A:$A,0))="DLY","Daily","Annual")),"")</f>
        <v>BTL 2 Year Fixed 60% LTV - Daily</v>
      </c>
      <c r="C32" s="146" t="str">
        <f>_xlfn.IFNA(INDEX(Producer!$Q:$Q,MATCH($D32,Producer!$A:$A,0)),"")</f>
        <v>BuyToLet</v>
      </c>
      <c r="D32" s="146">
        <f>IFERROR(VALUE(MID(Producer!$R$2,IF($D31="",1/0,FIND(_xlfn.CONCAT($D30,$D31),Producer!$R$2)+10),5)),"")</f>
        <v>54278</v>
      </c>
      <c r="E32" s="146" t="str">
        <f t="shared" si="1"/>
        <v>Stepped Fixed</v>
      </c>
      <c r="F32" s="146"/>
      <c r="G32" s="147">
        <f>_xlfn.IFNA(VALUE(INDEX(Producer!$F:$F,MATCH($D32,Producer!$A:$A,0)))*100,"")</f>
        <v>4.3600000000000003</v>
      </c>
      <c r="H32" s="216">
        <f>_xlfn.IFNA(IFERROR(DATEVALUE(INDEX(Producer!$M:$M,MATCH($D32,Producer!$A:$A,0))),(INDEX(Producer!$M:$M,MATCH($D32,Producer!$A:$A,0)))),"")</f>
        <v>46418</v>
      </c>
      <c r="I32" s="217">
        <f>_xlfn.IFNA(VALUE(INDEX(Producer!$B:$B,MATCH($D32,Producer!$A:$A,0)))*12,"")</f>
        <v>24</v>
      </c>
      <c r="J32" s="146">
        <f>_xlfn.IFNA(IF(C32="Residential",IF(VALUE(INDEX(Producer!$B:$B,MATCH($D32,Producer!$A:$A,0)))&lt;5,Constants!$C$10,""),IF(VALUE(INDEX(Producer!$B:$B,MATCH($D32,Producer!$A:$A,0)))&lt;5,Constants!$C$11,"")),"")</f>
        <v>7.54</v>
      </c>
      <c r="K32" s="216">
        <f>_xlfn.IFNA(IF(($I32)&lt;60,DATE(YEAR(H32)+(5-VALUE(INDEX(Producer!$B:$B,MATCH($D32,Producer!$A:$A,0)))),MONTH(H32),DAY(H32)),""),"")</f>
        <v>47514</v>
      </c>
      <c r="L32" s="153">
        <f t="shared" si="2"/>
        <v>36</v>
      </c>
      <c r="M32" s="146"/>
      <c r="N32" s="148"/>
      <c r="O32" s="148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>
        <f>IF(D32="","",IF(C32="Residential",Constants!$B$10,Constants!$B$11))</f>
        <v>8.5399999999999991</v>
      </c>
      <c r="AL32" s="146" t="str">
        <f t="shared" si="3"/>
        <v>BVR</v>
      </c>
      <c r="AM32" s="206" t="str">
        <f t="shared" si="4"/>
        <v/>
      </c>
      <c r="AN32" s="146">
        <f t="shared" si="5"/>
        <v>10</v>
      </c>
      <c r="AO32" s="149" t="str">
        <f t="shared" si="6"/>
        <v>Remortgage</v>
      </c>
      <c r="AP32" s="150" t="str">
        <f t="shared" si="7"/>
        <v>ProductTransfer</v>
      </c>
      <c r="AQ32" s="146">
        <f>IFERROR(_xlfn.IFNA(IF($BA32="No",0,IF(INDEX(Constants!B:B,MATCH(($I32/12),Constants!$A:$A,0))=0,0,INDEX(Constants!B:B,MATCH(($I32/12),Constants!$A:$A,0)))),0),"")</f>
        <v>2.5</v>
      </c>
      <c r="AR32" s="146">
        <f>IFERROR(_xlfn.IFNA(IF($BA32="No",0,IF(INDEX(Constants!C:C,MATCH(($I32/12),Constants!$A:$A,0))=0,0,INDEX(Constants!C:C,MATCH(($I32/12),Constants!$A:$A,0)))),0),"")</f>
        <v>1.5</v>
      </c>
      <c r="AS32" s="146">
        <f>IFERROR(_xlfn.IFNA(IF($BA32="No",0,IF(INDEX(Constants!D:D,MATCH(($I32/12),Constants!$A:$A,0))=0,0,INDEX(Constants!D:D,MATCH(($I32/12),Constants!$A:$A,0)))),0),"")</f>
        <v>0</v>
      </c>
      <c r="AT32" s="146">
        <f>IFERROR(_xlfn.IFNA(IF($BA32="No",0,IF(INDEX(Constants!E:E,MATCH(($I32/12),Constants!$A:$A,0))=0,0,INDEX(Constants!E:E,MATCH(($I32/12),Constants!$A:$A,0)))),0),"")</f>
        <v>0</v>
      </c>
      <c r="AU32" s="146">
        <f>IFERROR(_xlfn.IFNA(IF($BA32="No",0,IF(INDEX(Constants!F:F,MATCH(($I32/12),Constants!$A:$A,0))=0,0,INDEX(Constants!F:F,MATCH(($I32/12),Constants!$A:$A,0)))),0),"")</f>
        <v>0</v>
      </c>
      <c r="AV32" s="146">
        <f>IFERROR(_xlfn.IFNA(IF($BA32="No",0,IF(INDEX(Constants!G:G,MATCH(($I32/12),Constants!$A:$A,0))=0,0,INDEX(Constants!G:G,MATCH(($I32/12),Constants!$A:$A,0)))),0),"")</f>
        <v>0</v>
      </c>
      <c r="AW32" s="146">
        <f>IFERROR(_xlfn.IFNA(IF($BA32="No",0,IF(INDEX(Constants!H:H,MATCH(($I32/12),Constants!$A:$A,0))=0,0,INDEX(Constants!H:H,MATCH(($I32/12),Constants!$A:$A,0)))),0),"")</f>
        <v>0</v>
      </c>
      <c r="AX32" s="146">
        <f>IFERROR(_xlfn.IFNA(IF($BA32="No",0,IF(INDEX(Constants!I:I,MATCH(($I32/12),Constants!$A:$A,0))=0,0,INDEX(Constants!I:I,MATCH(($I32/12),Constants!$A:$A,0)))),0),"")</f>
        <v>0</v>
      </c>
      <c r="AY32" s="146">
        <f>IFERROR(_xlfn.IFNA(IF($BA32="No",0,IF(INDEX(Constants!J:J,MATCH(($I32/12),Constants!$A:$A,0))=0,0,INDEX(Constants!J:J,MATCH(($I32/12),Constants!$A:$A,0)))),0),"")</f>
        <v>0</v>
      </c>
      <c r="AZ32" s="146">
        <f>IFERROR(_xlfn.IFNA(IF($BA32="No",0,IF(INDEX(Constants!K:K,MATCH(($I32/12),Constants!$A:$A,0))=0,0,INDEX(Constants!K:K,MATCH(($I32/12),Constants!$A:$A,0)))),0),"")</f>
        <v>0</v>
      </c>
      <c r="BA32" s="147" t="str">
        <f>_xlfn.IFNA(INDEX(Producer!$L:$L,MATCH($D32,Producer!$A:$A,0)),"")</f>
        <v>Yes</v>
      </c>
      <c r="BB32" s="146" t="str">
        <f>IFERROR(IF(AQ32=0,"",IF(($I32/12)=15,_xlfn.CONCAT(Constants!$N$7,TEXT(DATE(YEAR(H32)-(($I32/12)-3),MONTH(H32),DAY(H32)),"dd/mm/yyyy"),", ",Constants!$P$7,TEXT(DATE(YEAR(H32)-(($I32/12)-8),MONTH(H32),DAY(H32)),"dd/mm/yyyy"),", ",Constants!$T$7,TEXT(DATE(YEAR(H32)-(($I32/12)-11),MONTH(H32),DAY(H32)),"dd/mm/yyyy"),", ",Constants!$V$7,TEXT(DATE(YEAR(H32)-(($I32/12)-13),MONTH(H32),DAY(H32)),"dd/mm/yyyy"),", ",Constants!$W$7,TEXT($H32,"dd/mm/yyyy")),IF(($I32/12)=10,_xlfn.CONCAT(Constants!$N$6,TEXT(DATE(YEAR(H32)-(($I32/12)-2),MONTH(H32),DAY(H32)),"dd/mm/yyyy"),", ",Constants!$P$6,TEXT(DATE(YEAR(H32)-(($I32/12)-6),MONTH(H32),DAY(H32)),"dd/mm/yyyy"),", ",Constants!$T$6,TEXT(DATE(YEAR(H32)-(($I32/12)-8),MONTH(H32),DAY(H32)),"dd/mm/yyyy"),", ",Constants!$V$6,TEXT(DATE(YEAR(H32)-(($I32/12)-9),MONTH(H32),DAY(H32)),"dd/mm/yyyy"),", ",Constants!$W$6,TEXT($H32,"dd/mm/yyyy")),IF(($I32/12)=5,_xlfn.CONCAT(Constants!$N$5,TEXT(DATE(YEAR(H32)-(($I32/12)-1),MONTH(H32),DAY(H32)),"dd/mm/yyyy"),", ",Constants!$O$5,TEXT(DATE(YEAR(H32)-(($I32/12)-2),MONTH(H32),DAY(H32)),"dd/mm/yyyy"),", ",Constants!$P$5,TEXT(DATE(YEAR(H32)-(($I32/12)-3),MONTH(H32),DAY(H32)),"dd/mm/yyyy"),", ",Constants!$Q$5,TEXT(DATE(YEAR(H32)-(($I32/12)-4),MONTH(H32),DAY(H32)),"dd/mm/yyyy"),", ",Constants!$R$5,TEXT($H32,"dd/mm/yyyy")),IF(($I32/12)=3,_xlfn.CONCAT(Constants!$N$4,TEXT(DATE(YEAR(H32)-(($I32/12)-1),MONTH(H32),DAY(H32)),"dd/mm/yyyy"),", ",Constants!$O$4,TEXT(DATE(YEAR(H32)-(($I32/12)-2),MONTH(H32),DAY(H32)),"dd/mm/yyyy"),", ",Constants!$P$4,TEXT($H32,"dd/mm/yyyy")),IF(($I32/12)=2,_xlfn.CONCAT(Constants!$N$3,TEXT(DATE(YEAR(H32)-(($I32/12)-1),MONTH(H32),DAY(H32)),"dd/mm/yyyy"),", ",Constants!$O$3,TEXT($H32,"dd/mm/yyyy")),IF(($I32/12)=1,_xlfn.CONCAT(Constants!$N$2,TEXT($H32,"dd/mm/yyyy")),"Update Constants"))))))),"")</f>
        <v>2.5% to 31/01/2026, 1.5% to 31/01/2027</v>
      </c>
      <c r="BC32" s="147">
        <f>_xlfn.IFNA(VALUE(INDEX(Producer!$K:$K,MATCH($D32,Producer!$A:$A,0))),"")</f>
        <v>0</v>
      </c>
      <c r="BD32" s="147" t="str">
        <f>_xlfn.IFNA(INDEX(Producer!$I:$I,MATCH($D32,Producer!$A:$A,0)),"")</f>
        <v>No</v>
      </c>
      <c r="BE32" s="147" t="str">
        <f t="shared" si="8"/>
        <v>Yes</v>
      </c>
      <c r="BF32" s="147"/>
      <c r="BG32" s="147"/>
      <c r="BH32" s="151">
        <f>_xlfn.IFNA(INDEX(Constants!$B:$B,MATCH(BC32,Constants!A:A,0)),"")</f>
        <v>0</v>
      </c>
      <c r="BI32" s="147">
        <f>IF(LEFT(B32,15)="Limited Company",Constants!$D$16,IFERROR(_xlfn.IFNA(IF(C32="Residential",IF(BK32&lt;75,INDEX(Constants!$B:$B,MATCH(VALUE(60)/100,Constants!$A:$A,0)),INDEX(Constants!$B:$B,MATCH(VALUE(BK32)/100,Constants!$A:$A,0))),IF(BK32&lt;60,INDEX(Constants!$C:$C,MATCH(VALUE(60)/100,Constants!$A:$A,0)),INDEX(Constants!$C:$C,MATCH(VALUE(BK32)/100,Constants!$A:$A,0)))),""),""))</f>
        <v>1000000</v>
      </c>
      <c r="BJ32" s="147">
        <f t="shared" si="9"/>
        <v>0</v>
      </c>
      <c r="BK32" s="147">
        <f>_xlfn.IFNA(VALUE(INDEX(Producer!$E:$E,MATCH($D32,Producer!$A:$A,0)))*100,"")</f>
        <v>60</v>
      </c>
      <c r="BL32" s="146" t="str">
        <f>_xlfn.IFNA(IF(IFERROR(FIND("Part &amp; Part",B32),-10)&gt;0,"PP",IF(OR(LEFT(B32,25)="Residential Interest Only",INDEX(Producer!$P:$P,MATCH($D32,Producer!$A:$A,0))="IO",INDEX(Producer!$P:$P,MATCH($D32,Producer!$A:$A,0))="Retirement Interest Only"),"IO",IF($C32="BuyToLet","CI, IO","CI"))),"")</f>
        <v>CI, IO</v>
      </c>
      <c r="BM32" s="152">
        <f>_xlfn.IFNA(IF(BL32="IO",100%,IF(AND(INDEX(Producer!$P:$P,MATCH($D32,Producer!$A:$A,0))="Residential Interest Only Part &amp; Part",BK32=75),80%,IF(C32="BuyToLet",100%,IF(BL32="Interest Only",100%,IF(AND(INDEX(Producer!$P:$P,MATCH($D32,Producer!$A:$A,0))="Residential Interest Only Part &amp; Part",BK32=60),100%,""))))),"")</f>
        <v>1</v>
      </c>
      <c r="BN32" s="218">
        <f>_xlfn.IFNA(IF(VALUE(INDEX(Producer!$H:$H,MATCH($D32,Producer!$A:$A,0)))=0,"",VALUE(INDEX(Producer!$H:$H,MATCH($D32,Producer!$A:$A,0)))),"")</f>
        <v>1499</v>
      </c>
      <c r="BO32" s="153"/>
      <c r="BP32" s="153"/>
      <c r="BQ32" s="219">
        <f t="shared" si="10"/>
        <v>35</v>
      </c>
      <c r="BR32" s="146"/>
      <c r="BS32" s="146"/>
      <c r="BT32" s="146"/>
      <c r="BU32" s="146"/>
      <c r="BV32" s="219">
        <f t="shared" si="11"/>
        <v>199</v>
      </c>
      <c r="BW32" s="146"/>
      <c r="BX32" s="146"/>
      <c r="BY32" s="146" t="str">
        <f t="shared" si="12"/>
        <v>No</v>
      </c>
      <c r="BZ32" s="146" t="str">
        <f t="shared" si="13"/>
        <v>No</v>
      </c>
      <c r="CA32" s="146" t="str">
        <f t="shared" si="14"/>
        <v>No</v>
      </c>
      <c r="CB32" s="146" t="str">
        <f t="shared" si="15"/>
        <v>No</v>
      </c>
      <c r="CC32" s="146" t="str">
        <f>_xlfn.IFNA(IF(INDEX(Producer!$P:$P,MATCH($D32,Producer!$A:$A,0))="Help to Buy","Only available","No"),"")</f>
        <v>No</v>
      </c>
      <c r="CD32" s="146" t="str">
        <f>_xlfn.IFNA(IF(INDEX(Producer!$P:$P,MATCH($D32,Producer!$A:$A,0))="Shared Ownership","Only available","No"),"")</f>
        <v>No</v>
      </c>
      <c r="CE32" s="146" t="str">
        <f>_xlfn.IFNA(IF(INDEX(Producer!$P:$P,MATCH($D32,Producer!$A:$A,0))="Right to Buy","Only available","No"),"")</f>
        <v>No</v>
      </c>
      <c r="CF32" s="146" t="str">
        <f t="shared" si="16"/>
        <v>No</v>
      </c>
      <c r="CG32" s="146" t="str">
        <f>_xlfn.IFNA(IF(INDEX(Producer!$P:$P,MATCH($D32,Producer!$A:$A,0))="Retirement Interest Only","Only available","No"),"")</f>
        <v>No</v>
      </c>
      <c r="CH32" s="146" t="str">
        <f t="shared" si="17"/>
        <v>No</v>
      </c>
      <c r="CI32" s="146" t="str">
        <f>_xlfn.IFNA(IF(INDEX(Producer!$P:$P,MATCH($D32,Producer!$A:$A,0))="Intermediary Holiday Let","Only available","No"),"")</f>
        <v>No</v>
      </c>
      <c r="CJ32" s="146" t="str">
        <f t="shared" si="18"/>
        <v>No</v>
      </c>
      <c r="CK32" s="146" t="str">
        <f>_xlfn.IFNA(IF(OR(INDEX(Producer!$P:$P,MATCH($D32,Producer!$A:$A,0))="Intermediary Small HMO",INDEX(Producer!$P:$P,MATCH($D32,Producer!$A:$A,0))="Intermediary Large HMO"),"Only available","No"),"")</f>
        <v>No</v>
      </c>
      <c r="CL32" s="146" t="str">
        <f t="shared" si="19"/>
        <v>Also available</v>
      </c>
      <c r="CM32" s="146" t="str">
        <f t="shared" si="20"/>
        <v>No</v>
      </c>
      <c r="CN32" s="146" t="str">
        <f t="shared" si="21"/>
        <v>No</v>
      </c>
      <c r="CO32" s="146" t="str">
        <f t="shared" si="22"/>
        <v>Also available</v>
      </c>
      <c r="CP32" s="146" t="str">
        <f t="shared" si="23"/>
        <v>No</v>
      </c>
      <c r="CQ32" s="146" t="str">
        <f t="shared" si="24"/>
        <v>No</v>
      </c>
      <c r="CR32" s="146" t="str">
        <f t="shared" si="25"/>
        <v>Also available</v>
      </c>
      <c r="CS32" s="146" t="str">
        <f t="shared" si="26"/>
        <v>Only available</v>
      </c>
      <c r="CT32" s="146" t="str">
        <f t="shared" si="27"/>
        <v>No</v>
      </c>
      <c r="CU32" s="146"/>
    </row>
    <row r="33" spans="1:99" ht="16.399999999999999" customHeight="1" x14ac:dyDescent="0.35">
      <c r="A33" s="145" t="str">
        <f t="shared" si="0"/>
        <v>Leeds Building Society</v>
      </c>
      <c r="B33" s="145" t="str">
        <f>_xlfn.IFNA(_xlfn.CONCAT(INDEX(Producer!$P:$P,MATCH($D33,Producer!$A:$A,0))," ",IF(INDEX(Producer!$N:$N,MATCH($D33,Producer!$A:$A,0))="Yes","Green ",""),IF(AND(INDEX(Producer!$L:$L,MATCH($D33,Producer!$A:$A,0))="No",INDEX(Producer!$C:$C,MATCH($D33,Producer!$A:$A,0))="Fixed"),"Flexit ",""),INDEX(Producer!$B:$B,MATCH($D33,Producer!$A:$A,0))," Year ",INDEX(Producer!$C:$C,MATCH($D33,Producer!$A:$A,0))," ",VALUE(INDEX(Producer!$E:$E,MATCH($D33,Producer!$A:$A,0)))*100,"% LTV",IF(INDEX(Producer!$N:$N,MATCH($D33,Producer!$A:$A,0))="Yes"," (EPC A-C)","")," - ",IF(INDEX(Producer!$D:$D,MATCH($D33,Producer!$A:$A,0))="DLY","Daily","Annual")),"")</f>
        <v>BTL 2 Year Fixed 60% LTV - Daily</v>
      </c>
      <c r="C33" s="146" t="str">
        <f>_xlfn.IFNA(INDEX(Producer!$Q:$Q,MATCH($D33,Producer!$A:$A,0)),"")</f>
        <v>BuyToLet</v>
      </c>
      <c r="D33" s="146">
        <f>IFERROR(VALUE(MID(Producer!$R$2,IF($D32="",1/0,FIND(_xlfn.CONCAT($D31,$D32),Producer!$R$2)+10),5)),"")</f>
        <v>54281</v>
      </c>
      <c r="E33" s="146" t="str">
        <f t="shared" si="1"/>
        <v>Stepped Fixed</v>
      </c>
      <c r="F33" s="146"/>
      <c r="G33" s="147">
        <f>_xlfn.IFNA(VALUE(INDEX(Producer!$F:$F,MATCH($D33,Producer!$A:$A,0)))*100,"")</f>
        <v>4.53</v>
      </c>
      <c r="H33" s="216">
        <f>_xlfn.IFNA(IFERROR(DATEVALUE(INDEX(Producer!$M:$M,MATCH($D33,Producer!$A:$A,0))),(INDEX(Producer!$M:$M,MATCH($D33,Producer!$A:$A,0)))),"")</f>
        <v>46418</v>
      </c>
      <c r="I33" s="217">
        <f>_xlfn.IFNA(VALUE(INDEX(Producer!$B:$B,MATCH($D33,Producer!$A:$A,0)))*12,"")</f>
        <v>24</v>
      </c>
      <c r="J33" s="146">
        <f>_xlfn.IFNA(IF(C33="Residential",IF(VALUE(INDEX(Producer!$B:$B,MATCH($D33,Producer!$A:$A,0)))&lt;5,Constants!$C$10,""),IF(VALUE(INDEX(Producer!$B:$B,MATCH($D33,Producer!$A:$A,0)))&lt;5,Constants!$C$11,"")),"")</f>
        <v>7.54</v>
      </c>
      <c r="K33" s="216">
        <f>_xlfn.IFNA(IF(($I33)&lt;60,DATE(YEAR(H33)+(5-VALUE(INDEX(Producer!$B:$B,MATCH($D33,Producer!$A:$A,0)))),MONTH(H33),DAY(H33)),""),"")</f>
        <v>47514</v>
      </c>
      <c r="L33" s="153">
        <f t="shared" si="2"/>
        <v>36</v>
      </c>
      <c r="M33" s="146"/>
      <c r="N33" s="148"/>
      <c r="O33" s="148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>
        <f>IF(D33="","",IF(C33="Residential",Constants!$B$10,Constants!$B$11))</f>
        <v>8.5399999999999991</v>
      </c>
      <c r="AL33" s="146" t="str">
        <f t="shared" si="3"/>
        <v>BVR</v>
      </c>
      <c r="AM33" s="206" t="str">
        <f t="shared" si="4"/>
        <v/>
      </c>
      <c r="AN33" s="146">
        <f t="shared" si="5"/>
        <v>10</v>
      </c>
      <c r="AO33" s="149" t="str">
        <f t="shared" si="6"/>
        <v>Remortgage</v>
      </c>
      <c r="AP33" s="150" t="str">
        <f t="shared" si="7"/>
        <v>ProductTransfer</v>
      </c>
      <c r="AQ33" s="146">
        <f>IFERROR(_xlfn.IFNA(IF($BA33="No",0,IF(INDEX(Constants!B:B,MATCH(($I33/12),Constants!$A:$A,0))=0,0,INDEX(Constants!B:B,MATCH(($I33/12),Constants!$A:$A,0)))),0),"")</f>
        <v>2.5</v>
      </c>
      <c r="AR33" s="146">
        <f>IFERROR(_xlfn.IFNA(IF($BA33="No",0,IF(INDEX(Constants!C:C,MATCH(($I33/12),Constants!$A:$A,0))=0,0,INDEX(Constants!C:C,MATCH(($I33/12),Constants!$A:$A,0)))),0),"")</f>
        <v>1.5</v>
      </c>
      <c r="AS33" s="146">
        <f>IFERROR(_xlfn.IFNA(IF($BA33="No",0,IF(INDEX(Constants!D:D,MATCH(($I33/12),Constants!$A:$A,0))=0,0,INDEX(Constants!D:D,MATCH(($I33/12),Constants!$A:$A,0)))),0),"")</f>
        <v>0</v>
      </c>
      <c r="AT33" s="146">
        <f>IFERROR(_xlfn.IFNA(IF($BA33="No",0,IF(INDEX(Constants!E:E,MATCH(($I33/12),Constants!$A:$A,0))=0,0,INDEX(Constants!E:E,MATCH(($I33/12),Constants!$A:$A,0)))),0),"")</f>
        <v>0</v>
      </c>
      <c r="AU33" s="146">
        <f>IFERROR(_xlfn.IFNA(IF($BA33="No",0,IF(INDEX(Constants!F:F,MATCH(($I33/12),Constants!$A:$A,0))=0,0,INDEX(Constants!F:F,MATCH(($I33/12),Constants!$A:$A,0)))),0),"")</f>
        <v>0</v>
      </c>
      <c r="AV33" s="146">
        <f>IFERROR(_xlfn.IFNA(IF($BA33="No",0,IF(INDEX(Constants!G:G,MATCH(($I33/12),Constants!$A:$A,0))=0,0,INDEX(Constants!G:G,MATCH(($I33/12),Constants!$A:$A,0)))),0),"")</f>
        <v>0</v>
      </c>
      <c r="AW33" s="146">
        <f>IFERROR(_xlfn.IFNA(IF($BA33="No",0,IF(INDEX(Constants!H:H,MATCH(($I33/12),Constants!$A:$A,0))=0,0,INDEX(Constants!H:H,MATCH(($I33/12),Constants!$A:$A,0)))),0),"")</f>
        <v>0</v>
      </c>
      <c r="AX33" s="146">
        <f>IFERROR(_xlfn.IFNA(IF($BA33="No",0,IF(INDEX(Constants!I:I,MATCH(($I33/12),Constants!$A:$A,0))=0,0,INDEX(Constants!I:I,MATCH(($I33/12),Constants!$A:$A,0)))),0),"")</f>
        <v>0</v>
      </c>
      <c r="AY33" s="146">
        <f>IFERROR(_xlfn.IFNA(IF($BA33="No",0,IF(INDEX(Constants!J:J,MATCH(($I33/12),Constants!$A:$A,0))=0,0,INDEX(Constants!J:J,MATCH(($I33/12),Constants!$A:$A,0)))),0),"")</f>
        <v>0</v>
      </c>
      <c r="AZ33" s="146">
        <f>IFERROR(_xlfn.IFNA(IF($BA33="No",0,IF(INDEX(Constants!K:K,MATCH(($I33/12),Constants!$A:$A,0))=0,0,INDEX(Constants!K:K,MATCH(($I33/12),Constants!$A:$A,0)))),0),"")</f>
        <v>0</v>
      </c>
      <c r="BA33" s="147" t="str">
        <f>_xlfn.IFNA(INDEX(Producer!$L:$L,MATCH($D33,Producer!$A:$A,0)),"")</f>
        <v>Yes</v>
      </c>
      <c r="BB33" s="146" t="str">
        <f>IFERROR(IF(AQ33=0,"",IF(($I33/12)=15,_xlfn.CONCAT(Constants!$N$7,TEXT(DATE(YEAR(H33)-(($I33/12)-3),MONTH(H33),DAY(H33)),"dd/mm/yyyy"),", ",Constants!$P$7,TEXT(DATE(YEAR(H33)-(($I33/12)-8),MONTH(H33),DAY(H33)),"dd/mm/yyyy"),", ",Constants!$T$7,TEXT(DATE(YEAR(H33)-(($I33/12)-11),MONTH(H33),DAY(H33)),"dd/mm/yyyy"),", ",Constants!$V$7,TEXT(DATE(YEAR(H33)-(($I33/12)-13),MONTH(H33),DAY(H33)),"dd/mm/yyyy"),", ",Constants!$W$7,TEXT($H33,"dd/mm/yyyy")),IF(($I33/12)=10,_xlfn.CONCAT(Constants!$N$6,TEXT(DATE(YEAR(H33)-(($I33/12)-2),MONTH(H33),DAY(H33)),"dd/mm/yyyy"),", ",Constants!$P$6,TEXT(DATE(YEAR(H33)-(($I33/12)-6),MONTH(H33),DAY(H33)),"dd/mm/yyyy"),", ",Constants!$T$6,TEXT(DATE(YEAR(H33)-(($I33/12)-8),MONTH(H33),DAY(H33)),"dd/mm/yyyy"),", ",Constants!$V$6,TEXT(DATE(YEAR(H33)-(($I33/12)-9),MONTH(H33),DAY(H33)),"dd/mm/yyyy"),", ",Constants!$W$6,TEXT($H33,"dd/mm/yyyy")),IF(($I33/12)=5,_xlfn.CONCAT(Constants!$N$5,TEXT(DATE(YEAR(H33)-(($I33/12)-1),MONTH(H33),DAY(H33)),"dd/mm/yyyy"),", ",Constants!$O$5,TEXT(DATE(YEAR(H33)-(($I33/12)-2),MONTH(H33),DAY(H33)),"dd/mm/yyyy"),", ",Constants!$P$5,TEXT(DATE(YEAR(H33)-(($I33/12)-3),MONTH(H33),DAY(H33)),"dd/mm/yyyy"),", ",Constants!$Q$5,TEXT(DATE(YEAR(H33)-(($I33/12)-4),MONTH(H33),DAY(H33)),"dd/mm/yyyy"),", ",Constants!$R$5,TEXT($H33,"dd/mm/yyyy")),IF(($I33/12)=3,_xlfn.CONCAT(Constants!$N$4,TEXT(DATE(YEAR(H33)-(($I33/12)-1),MONTH(H33),DAY(H33)),"dd/mm/yyyy"),", ",Constants!$O$4,TEXT(DATE(YEAR(H33)-(($I33/12)-2),MONTH(H33),DAY(H33)),"dd/mm/yyyy"),", ",Constants!$P$4,TEXT($H33,"dd/mm/yyyy")),IF(($I33/12)=2,_xlfn.CONCAT(Constants!$N$3,TEXT(DATE(YEAR(H33)-(($I33/12)-1),MONTH(H33),DAY(H33)),"dd/mm/yyyy"),", ",Constants!$O$3,TEXT($H33,"dd/mm/yyyy")),IF(($I33/12)=1,_xlfn.CONCAT(Constants!$N$2,TEXT($H33,"dd/mm/yyyy")),"Update Constants"))))))),"")</f>
        <v>2.5% to 31/01/2026, 1.5% to 31/01/2027</v>
      </c>
      <c r="BC33" s="147">
        <f>_xlfn.IFNA(VALUE(INDEX(Producer!$K:$K,MATCH($D33,Producer!$A:$A,0))),"")</f>
        <v>0</v>
      </c>
      <c r="BD33" s="147" t="str">
        <f>_xlfn.IFNA(INDEX(Producer!$I:$I,MATCH($D33,Producer!$A:$A,0)),"")</f>
        <v>No</v>
      </c>
      <c r="BE33" s="147" t="str">
        <f t="shared" si="8"/>
        <v>Yes</v>
      </c>
      <c r="BF33" s="147"/>
      <c r="BG33" s="147"/>
      <c r="BH33" s="151">
        <f>_xlfn.IFNA(INDEX(Constants!$B:$B,MATCH(BC33,Constants!A:A,0)),"")</f>
        <v>0</v>
      </c>
      <c r="BI33" s="147">
        <f>IF(LEFT(B33,15)="Limited Company",Constants!$D$16,IFERROR(_xlfn.IFNA(IF(C33="Residential",IF(BK33&lt;75,INDEX(Constants!$B:$B,MATCH(VALUE(60)/100,Constants!$A:$A,0)),INDEX(Constants!$B:$B,MATCH(VALUE(BK33)/100,Constants!$A:$A,0))),IF(BK33&lt;60,INDEX(Constants!$C:$C,MATCH(VALUE(60)/100,Constants!$A:$A,0)),INDEX(Constants!$C:$C,MATCH(VALUE(BK33)/100,Constants!$A:$A,0)))),""),""))</f>
        <v>1000000</v>
      </c>
      <c r="BJ33" s="147">
        <f t="shared" si="9"/>
        <v>0</v>
      </c>
      <c r="BK33" s="147">
        <f>_xlfn.IFNA(VALUE(INDEX(Producer!$E:$E,MATCH($D33,Producer!$A:$A,0)))*100,"")</f>
        <v>60</v>
      </c>
      <c r="BL33" s="146" t="str">
        <f>_xlfn.IFNA(IF(IFERROR(FIND("Part &amp; Part",B33),-10)&gt;0,"PP",IF(OR(LEFT(B33,25)="Residential Interest Only",INDEX(Producer!$P:$P,MATCH($D33,Producer!$A:$A,0))="IO",INDEX(Producer!$P:$P,MATCH($D33,Producer!$A:$A,0))="Retirement Interest Only"),"IO",IF($C33="BuyToLet","CI, IO","CI"))),"")</f>
        <v>CI, IO</v>
      </c>
      <c r="BM33" s="152">
        <f>_xlfn.IFNA(IF(BL33="IO",100%,IF(AND(INDEX(Producer!$P:$P,MATCH($D33,Producer!$A:$A,0))="Residential Interest Only Part &amp; Part",BK33=75),80%,IF(C33="BuyToLet",100%,IF(BL33="Interest Only",100%,IF(AND(INDEX(Producer!$P:$P,MATCH($D33,Producer!$A:$A,0))="Residential Interest Only Part &amp; Part",BK33=60),100%,""))))),"")</f>
        <v>1</v>
      </c>
      <c r="BN33" s="218">
        <f>_xlfn.IFNA(IF(VALUE(INDEX(Producer!$H:$H,MATCH($D33,Producer!$A:$A,0)))=0,"",VALUE(INDEX(Producer!$H:$H,MATCH($D33,Producer!$A:$A,0)))),"")</f>
        <v>999</v>
      </c>
      <c r="BO33" s="153"/>
      <c r="BP33" s="153"/>
      <c r="BQ33" s="219">
        <f t="shared" si="10"/>
        <v>35</v>
      </c>
      <c r="BR33" s="146"/>
      <c r="BS33" s="146"/>
      <c r="BT33" s="146"/>
      <c r="BU33" s="146"/>
      <c r="BV33" s="219">
        <f t="shared" si="11"/>
        <v>199</v>
      </c>
      <c r="BW33" s="146"/>
      <c r="BX33" s="146"/>
      <c r="BY33" s="146" t="str">
        <f t="shared" si="12"/>
        <v>No</v>
      </c>
      <c r="BZ33" s="146" t="str">
        <f t="shared" si="13"/>
        <v>No</v>
      </c>
      <c r="CA33" s="146" t="str">
        <f t="shared" si="14"/>
        <v>No</v>
      </c>
      <c r="CB33" s="146" t="str">
        <f t="shared" si="15"/>
        <v>No</v>
      </c>
      <c r="CC33" s="146" t="str">
        <f>_xlfn.IFNA(IF(INDEX(Producer!$P:$P,MATCH($D33,Producer!$A:$A,0))="Help to Buy","Only available","No"),"")</f>
        <v>No</v>
      </c>
      <c r="CD33" s="146" t="str">
        <f>_xlfn.IFNA(IF(INDEX(Producer!$P:$P,MATCH($D33,Producer!$A:$A,0))="Shared Ownership","Only available","No"),"")</f>
        <v>No</v>
      </c>
      <c r="CE33" s="146" t="str">
        <f>_xlfn.IFNA(IF(INDEX(Producer!$P:$P,MATCH($D33,Producer!$A:$A,0))="Right to Buy","Only available","No"),"")</f>
        <v>No</v>
      </c>
      <c r="CF33" s="146" t="str">
        <f t="shared" si="16"/>
        <v>No</v>
      </c>
      <c r="CG33" s="146" t="str">
        <f>_xlfn.IFNA(IF(INDEX(Producer!$P:$P,MATCH($D33,Producer!$A:$A,0))="Retirement Interest Only","Only available","No"),"")</f>
        <v>No</v>
      </c>
      <c r="CH33" s="146" t="str">
        <f t="shared" si="17"/>
        <v>No</v>
      </c>
      <c r="CI33" s="146" t="str">
        <f>_xlfn.IFNA(IF(INDEX(Producer!$P:$P,MATCH($D33,Producer!$A:$A,0))="Intermediary Holiday Let","Only available","No"),"")</f>
        <v>No</v>
      </c>
      <c r="CJ33" s="146" t="str">
        <f t="shared" si="18"/>
        <v>No</v>
      </c>
      <c r="CK33" s="146" t="str">
        <f>_xlfn.IFNA(IF(OR(INDEX(Producer!$P:$P,MATCH($D33,Producer!$A:$A,0))="Intermediary Small HMO",INDEX(Producer!$P:$P,MATCH($D33,Producer!$A:$A,0))="Intermediary Large HMO"),"Only available","No"),"")</f>
        <v>No</v>
      </c>
      <c r="CL33" s="146" t="str">
        <f t="shared" si="19"/>
        <v>Also available</v>
      </c>
      <c r="CM33" s="146" t="str">
        <f t="shared" si="20"/>
        <v>No</v>
      </c>
      <c r="CN33" s="146" t="str">
        <f t="shared" si="21"/>
        <v>No</v>
      </c>
      <c r="CO33" s="146" t="str">
        <f t="shared" si="22"/>
        <v>Also available</v>
      </c>
      <c r="CP33" s="146" t="str">
        <f t="shared" si="23"/>
        <v>No</v>
      </c>
      <c r="CQ33" s="146" t="str">
        <f t="shared" si="24"/>
        <v>No</v>
      </c>
      <c r="CR33" s="146" t="str">
        <f t="shared" si="25"/>
        <v>Also available</v>
      </c>
      <c r="CS33" s="146" t="str">
        <f t="shared" si="26"/>
        <v>Only available</v>
      </c>
      <c r="CT33" s="146" t="str">
        <f t="shared" si="27"/>
        <v>No</v>
      </c>
      <c r="CU33" s="146"/>
    </row>
    <row r="34" spans="1:99" ht="16.399999999999999" customHeight="1" x14ac:dyDescent="0.35">
      <c r="A34" s="145" t="str">
        <f t="shared" si="0"/>
        <v>Leeds Building Society</v>
      </c>
      <c r="B34" s="145" t="str">
        <f>_xlfn.IFNA(_xlfn.CONCAT(INDEX(Producer!$P:$P,MATCH($D34,Producer!$A:$A,0))," ",IF(INDEX(Producer!$N:$N,MATCH($D34,Producer!$A:$A,0))="Yes","Green ",""),IF(AND(INDEX(Producer!$L:$L,MATCH($D34,Producer!$A:$A,0))="No",INDEX(Producer!$C:$C,MATCH($D34,Producer!$A:$A,0))="Fixed"),"Flexit ",""),INDEX(Producer!$B:$B,MATCH($D34,Producer!$A:$A,0))," Year ",INDEX(Producer!$C:$C,MATCH($D34,Producer!$A:$A,0))," ",VALUE(INDEX(Producer!$E:$E,MATCH($D34,Producer!$A:$A,0)))*100,"% LTV",IF(INDEX(Producer!$N:$N,MATCH($D34,Producer!$A:$A,0))="Yes"," (EPC A-C)","")," - ",IF(INDEX(Producer!$D:$D,MATCH($D34,Producer!$A:$A,0))="DLY","Daily","Annual")),"")</f>
        <v>BTL 2 Year Fixed 60% LTV - Daily</v>
      </c>
      <c r="C34" s="146" t="str">
        <f>_xlfn.IFNA(INDEX(Producer!$Q:$Q,MATCH($D34,Producer!$A:$A,0)),"")</f>
        <v>BuyToLet</v>
      </c>
      <c r="D34" s="146">
        <f>IFERROR(VALUE(MID(Producer!$R$2,IF($D33="",1/0,FIND(_xlfn.CONCAT($D32,$D33),Producer!$R$2)+10),5)),"")</f>
        <v>54287</v>
      </c>
      <c r="E34" s="146" t="str">
        <f t="shared" si="1"/>
        <v>Stepped Fixed</v>
      </c>
      <c r="F34" s="146"/>
      <c r="G34" s="147">
        <f>_xlfn.IFNA(VALUE(INDEX(Producer!$F:$F,MATCH($D34,Producer!$A:$A,0)))*100,"")</f>
        <v>4.8</v>
      </c>
      <c r="H34" s="216">
        <f>_xlfn.IFNA(IFERROR(DATEVALUE(INDEX(Producer!$M:$M,MATCH($D34,Producer!$A:$A,0))),(INDEX(Producer!$M:$M,MATCH($D34,Producer!$A:$A,0)))),"")</f>
        <v>46418</v>
      </c>
      <c r="I34" s="217">
        <f>_xlfn.IFNA(VALUE(INDEX(Producer!$B:$B,MATCH($D34,Producer!$A:$A,0)))*12,"")</f>
        <v>24</v>
      </c>
      <c r="J34" s="146">
        <f>_xlfn.IFNA(IF(C34="Residential",IF(VALUE(INDEX(Producer!$B:$B,MATCH($D34,Producer!$A:$A,0)))&lt;5,Constants!$C$10,""),IF(VALUE(INDEX(Producer!$B:$B,MATCH($D34,Producer!$A:$A,0)))&lt;5,Constants!$C$11,"")),"")</f>
        <v>7.54</v>
      </c>
      <c r="K34" s="216">
        <f>_xlfn.IFNA(IF(($I34)&lt;60,DATE(YEAR(H34)+(5-VALUE(INDEX(Producer!$B:$B,MATCH($D34,Producer!$A:$A,0)))),MONTH(H34),DAY(H34)),""),"")</f>
        <v>47514</v>
      </c>
      <c r="L34" s="153">
        <f t="shared" si="2"/>
        <v>36</v>
      </c>
      <c r="M34" s="146"/>
      <c r="N34" s="148"/>
      <c r="O34" s="148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>
        <f>IF(D34="","",IF(C34="Residential",Constants!$B$10,Constants!$B$11))</f>
        <v>8.5399999999999991</v>
      </c>
      <c r="AL34" s="146" t="str">
        <f t="shared" si="3"/>
        <v>BVR</v>
      </c>
      <c r="AM34" s="206" t="str">
        <f t="shared" si="4"/>
        <v/>
      </c>
      <c r="AN34" s="146">
        <f t="shared" si="5"/>
        <v>10</v>
      </c>
      <c r="AO34" s="149" t="str">
        <f t="shared" si="6"/>
        <v>Remortgage</v>
      </c>
      <c r="AP34" s="150" t="str">
        <f t="shared" si="7"/>
        <v>ProductTransfer</v>
      </c>
      <c r="AQ34" s="146">
        <f>IFERROR(_xlfn.IFNA(IF($BA34="No",0,IF(INDEX(Constants!B:B,MATCH(($I34/12),Constants!$A:$A,0))=0,0,INDEX(Constants!B:B,MATCH(($I34/12),Constants!$A:$A,0)))),0),"")</f>
        <v>2.5</v>
      </c>
      <c r="AR34" s="146">
        <f>IFERROR(_xlfn.IFNA(IF($BA34="No",0,IF(INDEX(Constants!C:C,MATCH(($I34/12),Constants!$A:$A,0))=0,0,INDEX(Constants!C:C,MATCH(($I34/12),Constants!$A:$A,0)))),0),"")</f>
        <v>1.5</v>
      </c>
      <c r="AS34" s="146">
        <f>IFERROR(_xlfn.IFNA(IF($BA34="No",0,IF(INDEX(Constants!D:D,MATCH(($I34/12),Constants!$A:$A,0))=0,0,INDEX(Constants!D:D,MATCH(($I34/12),Constants!$A:$A,0)))),0),"")</f>
        <v>0</v>
      </c>
      <c r="AT34" s="146">
        <f>IFERROR(_xlfn.IFNA(IF($BA34="No",0,IF(INDEX(Constants!E:E,MATCH(($I34/12),Constants!$A:$A,0))=0,0,INDEX(Constants!E:E,MATCH(($I34/12),Constants!$A:$A,0)))),0),"")</f>
        <v>0</v>
      </c>
      <c r="AU34" s="146">
        <f>IFERROR(_xlfn.IFNA(IF($BA34="No",0,IF(INDEX(Constants!F:F,MATCH(($I34/12),Constants!$A:$A,0))=0,0,INDEX(Constants!F:F,MATCH(($I34/12),Constants!$A:$A,0)))),0),"")</f>
        <v>0</v>
      </c>
      <c r="AV34" s="146">
        <f>IFERROR(_xlfn.IFNA(IF($BA34="No",0,IF(INDEX(Constants!G:G,MATCH(($I34/12),Constants!$A:$A,0))=0,0,INDEX(Constants!G:G,MATCH(($I34/12),Constants!$A:$A,0)))),0),"")</f>
        <v>0</v>
      </c>
      <c r="AW34" s="146">
        <f>IFERROR(_xlfn.IFNA(IF($BA34="No",0,IF(INDEX(Constants!H:H,MATCH(($I34/12),Constants!$A:$A,0))=0,0,INDEX(Constants!H:H,MATCH(($I34/12),Constants!$A:$A,0)))),0),"")</f>
        <v>0</v>
      </c>
      <c r="AX34" s="146">
        <f>IFERROR(_xlfn.IFNA(IF($BA34="No",0,IF(INDEX(Constants!I:I,MATCH(($I34/12),Constants!$A:$A,0))=0,0,INDEX(Constants!I:I,MATCH(($I34/12),Constants!$A:$A,0)))),0),"")</f>
        <v>0</v>
      </c>
      <c r="AY34" s="146">
        <f>IFERROR(_xlfn.IFNA(IF($BA34="No",0,IF(INDEX(Constants!J:J,MATCH(($I34/12),Constants!$A:$A,0))=0,0,INDEX(Constants!J:J,MATCH(($I34/12),Constants!$A:$A,0)))),0),"")</f>
        <v>0</v>
      </c>
      <c r="AZ34" s="146">
        <f>IFERROR(_xlfn.IFNA(IF($BA34="No",0,IF(INDEX(Constants!K:K,MATCH(($I34/12),Constants!$A:$A,0))=0,0,INDEX(Constants!K:K,MATCH(($I34/12),Constants!$A:$A,0)))),0),"")</f>
        <v>0</v>
      </c>
      <c r="BA34" s="147" t="str">
        <f>_xlfn.IFNA(INDEX(Producer!$L:$L,MATCH($D34,Producer!$A:$A,0)),"")</f>
        <v>Yes</v>
      </c>
      <c r="BB34" s="146" t="str">
        <f>IFERROR(IF(AQ34=0,"",IF(($I34/12)=15,_xlfn.CONCAT(Constants!$N$7,TEXT(DATE(YEAR(H34)-(($I34/12)-3),MONTH(H34),DAY(H34)),"dd/mm/yyyy"),", ",Constants!$P$7,TEXT(DATE(YEAR(H34)-(($I34/12)-8),MONTH(H34),DAY(H34)),"dd/mm/yyyy"),", ",Constants!$T$7,TEXT(DATE(YEAR(H34)-(($I34/12)-11),MONTH(H34),DAY(H34)),"dd/mm/yyyy"),", ",Constants!$V$7,TEXT(DATE(YEAR(H34)-(($I34/12)-13),MONTH(H34),DAY(H34)),"dd/mm/yyyy"),", ",Constants!$W$7,TEXT($H34,"dd/mm/yyyy")),IF(($I34/12)=10,_xlfn.CONCAT(Constants!$N$6,TEXT(DATE(YEAR(H34)-(($I34/12)-2),MONTH(H34),DAY(H34)),"dd/mm/yyyy"),", ",Constants!$P$6,TEXT(DATE(YEAR(H34)-(($I34/12)-6),MONTH(H34),DAY(H34)),"dd/mm/yyyy"),", ",Constants!$T$6,TEXT(DATE(YEAR(H34)-(($I34/12)-8),MONTH(H34),DAY(H34)),"dd/mm/yyyy"),", ",Constants!$V$6,TEXT(DATE(YEAR(H34)-(($I34/12)-9),MONTH(H34),DAY(H34)),"dd/mm/yyyy"),", ",Constants!$W$6,TEXT($H34,"dd/mm/yyyy")),IF(($I34/12)=5,_xlfn.CONCAT(Constants!$N$5,TEXT(DATE(YEAR(H34)-(($I34/12)-1),MONTH(H34),DAY(H34)),"dd/mm/yyyy"),", ",Constants!$O$5,TEXT(DATE(YEAR(H34)-(($I34/12)-2),MONTH(H34),DAY(H34)),"dd/mm/yyyy"),", ",Constants!$P$5,TEXT(DATE(YEAR(H34)-(($I34/12)-3),MONTH(H34),DAY(H34)),"dd/mm/yyyy"),", ",Constants!$Q$5,TEXT(DATE(YEAR(H34)-(($I34/12)-4),MONTH(H34),DAY(H34)),"dd/mm/yyyy"),", ",Constants!$R$5,TEXT($H34,"dd/mm/yyyy")),IF(($I34/12)=3,_xlfn.CONCAT(Constants!$N$4,TEXT(DATE(YEAR(H34)-(($I34/12)-1),MONTH(H34),DAY(H34)),"dd/mm/yyyy"),", ",Constants!$O$4,TEXT(DATE(YEAR(H34)-(($I34/12)-2),MONTH(H34),DAY(H34)),"dd/mm/yyyy"),", ",Constants!$P$4,TEXT($H34,"dd/mm/yyyy")),IF(($I34/12)=2,_xlfn.CONCAT(Constants!$N$3,TEXT(DATE(YEAR(H34)-(($I34/12)-1),MONTH(H34),DAY(H34)),"dd/mm/yyyy"),", ",Constants!$O$3,TEXT($H34,"dd/mm/yyyy")),IF(($I34/12)=1,_xlfn.CONCAT(Constants!$N$2,TEXT($H34,"dd/mm/yyyy")),"Update Constants"))))))),"")</f>
        <v>2.5% to 31/01/2026, 1.5% to 31/01/2027</v>
      </c>
      <c r="BC34" s="147">
        <f>_xlfn.IFNA(VALUE(INDEX(Producer!$K:$K,MATCH($D34,Producer!$A:$A,0))),"")</f>
        <v>0</v>
      </c>
      <c r="BD34" s="147" t="str">
        <f>_xlfn.IFNA(INDEX(Producer!$I:$I,MATCH($D34,Producer!$A:$A,0)),"")</f>
        <v>No</v>
      </c>
      <c r="BE34" s="147" t="str">
        <f t="shared" si="8"/>
        <v>Yes</v>
      </c>
      <c r="BF34" s="147"/>
      <c r="BG34" s="147"/>
      <c r="BH34" s="151">
        <f>_xlfn.IFNA(INDEX(Constants!$B:$B,MATCH(BC34,Constants!A:A,0)),"")</f>
        <v>0</v>
      </c>
      <c r="BI34" s="147">
        <f>IF(LEFT(B34,15)="Limited Company",Constants!$D$16,IFERROR(_xlfn.IFNA(IF(C34="Residential",IF(BK34&lt;75,INDEX(Constants!$B:$B,MATCH(VALUE(60)/100,Constants!$A:$A,0)),INDEX(Constants!$B:$B,MATCH(VALUE(BK34)/100,Constants!$A:$A,0))),IF(BK34&lt;60,INDEX(Constants!$C:$C,MATCH(VALUE(60)/100,Constants!$A:$A,0)),INDEX(Constants!$C:$C,MATCH(VALUE(BK34)/100,Constants!$A:$A,0)))),""),""))</f>
        <v>1000000</v>
      </c>
      <c r="BJ34" s="147">
        <f t="shared" si="9"/>
        <v>0</v>
      </c>
      <c r="BK34" s="147">
        <f>_xlfn.IFNA(VALUE(INDEX(Producer!$E:$E,MATCH($D34,Producer!$A:$A,0)))*100,"")</f>
        <v>60</v>
      </c>
      <c r="BL34" s="146" t="str">
        <f>_xlfn.IFNA(IF(IFERROR(FIND("Part &amp; Part",B34),-10)&gt;0,"PP",IF(OR(LEFT(B34,25)="Residential Interest Only",INDEX(Producer!$P:$P,MATCH($D34,Producer!$A:$A,0))="IO",INDEX(Producer!$P:$P,MATCH($D34,Producer!$A:$A,0))="Retirement Interest Only"),"IO",IF($C34="BuyToLet","CI, IO","CI"))),"")</f>
        <v>CI, IO</v>
      </c>
      <c r="BM34" s="152">
        <f>_xlfn.IFNA(IF(BL34="IO",100%,IF(AND(INDEX(Producer!$P:$P,MATCH($D34,Producer!$A:$A,0))="Residential Interest Only Part &amp; Part",BK34=75),80%,IF(C34="BuyToLet",100%,IF(BL34="Interest Only",100%,IF(AND(INDEX(Producer!$P:$P,MATCH($D34,Producer!$A:$A,0))="Residential Interest Only Part &amp; Part",BK34=60),100%,""))))),"")</f>
        <v>1</v>
      </c>
      <c r="BN34" s="218" t="str">
        <f>_xlfn.IFNA(IF(VALUE(INDEX(Producer!$H:$H,MATCH($D34,Producer!$A:$A,0)))=0,"",VALUE(INDEX(Producer!$H:$H,MATCH($D34,Producer!$A:$A,0)))),"")</f>
        <v/>
      </c>
      <c r="BO34" s="153"/>
      <c r="BP34" s="153"/>
      <c r="BQ34" s="219">
        <f t="shared" si="10"/>
        <v>35</v>
      </c>
      <c r="BR34" s="146"/>
      <c r="BS34" s="146"/>
      <c r="BT34" s="146"/>
      <c r="BU34" s="146"/>
      <c r="BV34" s="219">
        <f t="shared" si="11"/>
        <v>199</v>
      </c>
      <c r="BW34" s="146"/>
      <c r="BX34" s="146"/>
      <c r="BY34" s="146" t="str">
        <f t="shared" si="12"/>
        <v>No</v>
      </c>
      <c r="BZ34" s="146" t="str">
        <f t="shared" si="13"/>
        <v>No</v>
      </c>
      <c r="CA34" s="146" t="str">
        <f t="shared" si="14"/>
        <v>No</v>
      </c>
      <c r="CB34" s="146" t="str">
        <f t="shared" si="15"/>
        <v>No</v>
      </c>
      <c r="CC34" s="146" t="str">
        <f>_xlfn.IFNA(IF(INDEX(Producer!$P:$P,MATCH($D34,Producer!$A:$A,0))="Help to Buy","Only available","No"),"")</f>
        <v>No</v>
      </c>
      <c r="CD34" s="146" t="str">
        <f>_xlfn.IFNA(IF(INDEX(Producer!$P:$P,MATCH($D34,Producer!$A:$A,0))="Shared Ownership","Only available","No"),"")</f>
        <v>No</v>
      </c>
      <c r="CE34" s="146" t="str">
        <f>_xlfn.IFNA(IF(INDEX(Producer!$P:$P,MATCH($D34,Producer!$A:$A,0))="Right to Buy","Only available","No"),"")</f>
        <v>No</v>
      </c>
      <c r="CF34" s="146" t="str">
        <f t="shared" si="16"/>
        <v>No</v>
      </c>
      <c r="CG34" s="146" t="str">
        <f>_xlfn.IFNA(IF(INDEX(Producer!$P:$P,MATCH($D34,Producer!$A:$A,0))="Retirement Interest Only","Only available","No"),"")</f>
        <v>No</v>
      </c>
      <c r="CH34" s="146" t="str">
        <f t="shared" si="17"/>
        <v>No</v>
      </c>
      <c r="CI34" s="146" t="str">
        <f>_xlfn.IFNA(IF(INDEX(Producer!$P:$P,MATCH($D34,Producer!$A:$A,0))="Intermediary Holiday Let","Only available","No"),"")</f>
        <v>No</v>
      </c>
      <c r="CJ34" s="146" t="str">
        <f t="shared" si="18"/>
        <v>No</v>
      </c>
      <c r="CK34" s="146" t="str">
        <f>_xlfn.IFNA(IF(OR(INDEX(Producer!$P:$P,MATCH($D34,Producer!$A:$A,0))="Intermediary Small HMO",INDEX(Producer!$P:$P,MATCH($D34,Producer!$A:$A,0))="Intermediary Large HMO"),"Only available","No"),"")</f>
        <v>No</v>
      </c>
      <c r="CL34" s="146" t="str">
        <f t="shared" si="19"/>
        <v>Also available</v>
      </c>
      <c r="CM34" s="146" t="str">
        <f t="shared" si="20"/>
        <v>No</v>
      </c>
      <c r="CN34" s="146" t="str">
        <f t="shared" si="21"/>
        <v>No</v>
      </c>
      <c r="CO34" s="146" t="str">
        <f t="shared" si="22"/>
        <v>Also available</v>
      </c>
      <c r="CP34" s="146" t="str">
        <f t="shared" si="23"/>
        <v>No</v>
      </c>
      <c r="CQ34" s="146" t="str">
        <f t="shared" si="24"/>
        <v>No</v>
      </c>
      <c r="CR34" s="146" t="str">
        <f t="shared" si="25"/>
        <v>Also available</v>
      </c>
      <c r="CS34" s="146" t="str">
        <f t="shared" si="26"/>
        <v>Only available</v>
      </c>
      <c r="CT34" s="146" t="str">
        <f t="shared" si="27"/>
        <v>No</v>
      </c>
      <c r="CU34" s="146"/>
    </row>
    <row r="35" spans="1:99" ht="16.399999999999999" customHeight="1" x14ac:dyDescent="0.35">
      <c r="A35" s="145" t="str">
        <f t="shared" si="0"/>
        <v>Leeds Building Society</v>
      </c>
      <c r="B35" s="145" t="str">
        <f>_xlfn.IFNA(_xlfn.CONCAT(INDEX(Producer!$P:$P,MATCH($D35,Producer!$A:$A,0))," ",IF(INDEX(Producer!$N:$N,MATCH($D35,Producer!$A:$A,0))="Yes","Green ",""),IF(AND(INDEX(Producer!$L:$L,MATCH($D35,Producer!$A:$A,0))="No",INDEX(Producer!$C:$C,MATCH($D35,Producer!$A:$A,0))="Fixed"),"Flexit ",""),INDEX(Producer!$B:$B,MATCH($D35,Producer!$A:$A,0))," Year ",INDEX(Producer!$C:$C,MATCH($D35,Producer!$A:$A,0))," ",VALUE(INDEX(Producer!$E:$E,MATCH($D35,Producer!$A:$A,0)))*100,"% LTV",IF(INDEX(Producer!$N:$N,MATCH($D35,Producer!$A:$A,0))="Yes"," (EPC A-C)","")," - ",IF(INDEX(Producer!$D:$D,MATCH($D35,Producer!$A:$A,0))="DLY","Daily","Annual")),"")</f>
        <v>BTL 2 Year Fixed 75% LTV - Daily</v>
      </c>
      <c r="C35" s="146" t="str">
        <f>_xlfn.IFNA(INDEX(Producer!$Q:$Q,MATCH($D35,Producer!$A:$A,0)),"")</f>
        <v>BuyToLet</v>
      </c>
      <c r="D35" s="146">
        <f>IFERROR(VALUE(MID(Producer!$R$2,IF($D34="",1/0,FIND(_xlfn.CONCAT($D33,$D34),Producer!$R$2)+10),5)),"")</f>
        <v>54282</v>
      </c>
      <c r="E35" s="146" t="str">
        <f t="shared" si="1"/>
        <v>Stepped Fixed</v>
      </c>
      <c r="F35" s="146"/>
      <c r="G35" s="147">
        <f>_xlfn.IFNA(VALUE(INDEX(Producer!$F:$F,MATCH($D35,Producer!$A:$A,0)))*100,"")</f>
        <v>5.4899999999999993</v>
      </c>
      <c r="H35" s="216">
        <f>_xlfn.IFNA(IFERROR(DATEVALUE(INDEX(Producer!$M:$M,MATCH($D35,Producer!$A:$A,0))),(INDEX(Producer!$M:$M,MATCH($D35,Producer!$A:$A,0)))),"")</f>
        <v>46418</v>
      </c>
      <c r="I35" s="217">
        <f>_xlfn.IFNA(VALUE(INDEX(Producer!$B:$B,MATCH($D35,Producer!$A:$A,0)))*12,"")</f>
        <v>24</v>
      </c>
      <c r="J35" s="146">
        <f>_xlfn.IFNA(IF(C35="Residential",IF(VALUE(INDEX(Producer!$B:$B,MATCH($D35,Producer!$A:$A,0)))&lt;5,Constants!$C$10,""),IF(VALUE(INDEX(Producer!$B:$B,MATCH($D35,Producer!$A:$A,0)))&lt;5,Constants!$C$11,"")),"")</f>
        <v>7.54</v>
      </c>
      <c r="K35" s="216">
        <f>_xlfn.IFNA(IF(($I35)&lt;60,DATE(YEAR(H35)+(5-VALUE(INDEX(Producer!$B:$B,MATCH($D35,Producer!$A:$A,0)))),MONTH(H35),DAY(H35)),""),"")</f>
        <v>47514</v>
      </c>
      <c r="L35" s="153">
        <f t="shared" si="2"/>
        <v>36</v>
      </c>
      <c r="M35" s="146"/>
      <c r="N35" s="148"/>
      <c r="O35" s="148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>
        <f>IF(D35="","",IF(C35="Residential",Constants!$B$10,Constants!$B$11))</f>
        <v>8.5399999999999991</v>
      </c>
      <c r="AL35" s="146" t="str">
        <f t="shared" si="3"/>
        <v>BVR</v>
      </c>
      <c r="AM35" s="206" t="str">
        <f t="shared" si="4"/>
        <v/>
      </c>
      <c r="AN35" s="146">
        <f t="shared" si="5"/>
        <v>10</v>
      </c>
      <c r="AO35" s="149" t="str">
        <f t="shared" si="6"/>
        <v>Remortgage</v>
      </c>
      <c r="AP35" s="150" t="str">
        <f t="shared" si="7"/>
        <v>ProductTransfer</v>
      </c>
      <c r="AQ35" s="146">
        <f>IFERROR(_xlfn.IFNA(IF($BA35="No",0,IF(INDEX(Constants!B:B,MATCH(($I35/12),Constants!$A:$A,0))=0,0,INDEX(Constants!B:B,MATCH(($I35/12),Constants!$A:$A,0)))),0),"")</f>
        <v>2.5</v>
      </c>
      <c r="AR35" s="146">
        <f>IFERROR(_xlfn.IFNA(IF($BA35="No",0,IF(INDEX(Constants!C:C,MATCH(($I35/12),Constants!$A:$A,0))=0,0,INDEX(Constants!C:C,MATCH(($I35/12),Constants!$A:$A,0)))),0),"")</f>
        <v>1.5</v>
      </c>
      <c r="AS35" s="146">
        <f>IFERROR(_xlfn.IFNA(IF($BA35="No",0,IF(INDEX(Constants!D:D,MATCH(($I35/12),Constants!$A:$A,0))=0,0,INDEX(Constants!D:D,MATCH(($I35/12),Constants!$A:$A,0)))),0),"")</f>
        <v>0</v>
      </c>
      <c r="AT35" s="146">
        <f>IFERROR(_xlfn.IFNA(IF($BA35="No",0,IF(INDEX(Constants!E:E,MATCH(($I35/12),Constants!$A:$A,0))=0,0,INDEX(Constants!E:E,MATCH(($I35/12),Constants!$A:$A,0)))),0),"")</f>
        <v>0</v>
      </c>
      <c r="AU35" s="146">
        <f>IFERROR(_xlfn.IFNA(IF($BA35="No",0,IF(INDEX(Constants!F:F,MATCH(($I35/12),Constants!$A:$A,0))=0,0,INDEX(Constants!F:F,MATCH(($I35/12),Constants!$A:$A,0)))),0),"")</f>
        <v>0</v>
      </c>
      <c r="AV35" s="146">
        <f>IFERROR(_xlfn.IFNA(IF($BA35="No",0,IF(INDEX(Constants!G:G,MATCH(($I35/12),Constants!$A:$A,0))=0,0,INDEX(Constants!G:G,MATCH(($I35/12),Constants!$A:$A,0)))),0),"")</f>
        <v>0</v>
      </c>
      <c r="AW35" s="146">
        <f>IFERROR(_xlfn.IFNA(IF($BA35="No",0,IF(INDEX(Constants!H:H,MATCH(($I35/12),Constants!$A:$A,0))=0,0,INDEX(Constants!H:H,MATCH(($I35/12),Constants!$A:$A,0)))),0),"")</f>
        <v>0</v>
      </c>
      <c r="AX35" s="146">
        <f>IFERROR(_xlfn.IFNA(IF($BA35="No",0,IF(INDEX(Constants!I:I,MATCH(($I35/12),Constants!$A:$A,0))=0,0,INDEX(Constants!I:I,MATCH(($I35/12),Constants!$A:$A,0)))),0),"")</f>
        <v>0</v>
      </c>
      <c r="AY35" s="146">
        <f>IFERROR(_xlfn.IFNA(IF($BA35="No",0,IF(INDEX(Constants!J:J,MATCH(($I35/12),Constants!$A:$A,0))=0,0,INDEX(Constants!J:J,MATCH(($I35/12),Constants!$A:$A,0)))),0),"")</f>
        <v>0</v>
      </c>
      <c r="AZ35" s="146">
        <f>IFERROR(_xlfn.IFNA(IF($BA35="No",0,IF(INDEX(Constants!K:K,MATCH(($I35/12),Constants!$A:$A,0))=0,0,INDEX(Constants!K:K,MATCH(($I35/12),Constants!$A:$A,0)))),0),"")</f>
        <v>0</v>
      </c>
      <c r="BA35" s="147" t="str">
        <f>_xlfn.IFNA(INDEX(Producer!$L:$L,MATCH($D35,Producer!$A:$A,0)),"")</f>
        <v>Yes</v>
      </c>
      <c r="BB35" s="146" t="str">
        <f>IFERROR(IF(AQ35=0,"",IF(($I35/12)=15,_xlfn.CONCAT(Constants!$N$7,TEXT(DATE(YEAR(H35)-(($I35/12)-3),MONTH(H35),DAY(H35)),"dd/mm/yyyy"),", ",Constants!$P$7,TEXT(DATE(YEAR(H35)-(($I35/12)-8),MONTH(H35),DAY(H35)),"dd/mm/yyyy"),", ",Constants!$T$7,TEXT(DATE(YEAR(H35)-(($I35/12)-11),MONTH(H35),DAY(H35)),"dd/mm/yyyy"),", ",Constants!$V$7,TEXT(DATE(YEAR(H35)-(($I35/12)-13),MONTH(H35),DAY(H35)),"dd/mm/yyyy"),", ",Constants!$W$7,TEXT($H35,"dd/mm/yyyy")),IF(($I35/12)=10,_xlfn.CONCAT(Constants!$N$6,TEXT(DATE(YEAR(H35)-(($I35/12)-2),MONTH(H35),DAY(H35)),"dd/mm/yyyy"),", ",Constants!$P$6,TEXT(DATE(YEAR(H35)-(($I35/12)-6),MONTH(H35),DAY(H35)),"dd/mm/yyyy"),", ",Constants!$T$6,TEXT(DATE(YEAR(H35)-(($I35/12)-8),MONTH(H35),DAY(H35)),"dd/mm/yyyy"),", ",Constants!$V$6,TEXT(DATE(YEAR(H35)-(($I35/12)-9),MONTH(H35),DAY(H35)),"dd/mm/yyyy"),", ",Constants!$W$6,TEXT($H35,"dd/mm/yyyy")),IF(($I35/12)=5,_xlfn.CONCAT(Constants!$N$5,TEXT(DATE(YEAR(H35)-(($I35/12)-1),MONTH(H35),DAY(H35)),"dd/mm/yyyy"),", ",Constants!$O$5,TEXT(DATE(YEAR(H35)-(($I35/12)-2),MONTH(H35),DAY(H35)),"dd/mm/yyyy"),", ",Constants!$P$5,TEXT(DATE(YEAR(H35)-(($I35/12)-3),MONTH(H35),DAY(H35)),"dd/mm/yyyy"),", ",Constants!$Q$5,TEXT(DATE(YEAR(H35)-(($I35/12)-4),MONTH(H35),DAY(H35)),"dd/mm/yyyy"),", ",Constants!$R$5,TEXT($H35,"dd/mm/yyyy")),IF(($I35/12)=3,_xlfn.CONCAT(Constants!$N$4,TEXT(DATE(YEAR(H35)-(($I35/12)-1),MONTH(H35),DAY(H35)),"dd/mm/yyyy"),", ",Constants!$O$4,TEXT(DATE(YEAR(H35)-(($I35/12)-2),MONTH(H35),DAY(H35)),"dd/mm/yyyy"),", ",Constants!$P$4,TEXT($H35,"dd/mm/yyyy")),IF(($I35/12)=2,_xlfn.CONCAT(Constants!$N$3,TEXT(DATE(YEAR(H35)-(($I35/12)-1),MONTH(H35),DAY(H35)),"dd/mm/yyyy"),", ",Constants!$O$3,TEXT($H35,"dd/mm/yyyy")),IF(($I35/12)=1,_xlfn.CONCAT(Constants!$N$2,TEXT($H35,"dd/mm/yyyy")),"Update Constants"))))))),"")</f>
        <v>2.5% to 31/01/2026, 1.5% to 31/01/2027</v>
      </c>
      <c r="BC35" s="147">
        <f>_xlfn.IFNA(VALUE(INDEX(Producer!$K:$K,MATCH($D35,Producer!$A:$A,0))),"")</f>
        <v>0</v>
      </c>
      <c r="BD35" s="147" t="str">
        <f>_xlfn.IFNA(INDEX(Producer!$I:$I,MATCH($D35,Producer!$A:$A,0)),"")</f>
        <v>No</v>
      </c>
      <c r="BE35" s="147" t="str">
        <f t="shared" si="8"/>
        <v>Yes</v>
      </c>
      <c r="BF35" s="147"/>
      <c r="BG35" s="147"/>
      <c r="BH35" s="151">
        <f>_xlfn.IFNA(INDEX(Constants!$B:$B,MATCH(BC35,Constants!A:A,0)),"")</f>
        <v>0</v>
      </c>
      <c r="BI35" s="147">
        <f>IF(LEFT(B35,15)="Limited Company",Constants!$D$16,IFERROR(_xlfn.IFNA(IF(C35="Residential",IF(BK35&lt;75,INDEX(Constants!$B:$B,MATCH(VALUE(60)/100,Constants!$A:$A,0)),INDEX(Constants!$B:$B,MATCH(VALUE(BK35)/100,Constants!$A:$A,0))),IF(BK35&lt;60,INDEX(Constants!$C:$C,MATCH(VALUE(60)/100,Constants!$A:$A,0)),INDEX(Constants!$C:$C,MATCH(VALUE(BK35)/100,Constants!$A:$A,0)))),""),""))</f>
        <v>1000000</v>
      </c>
      <c r="BJ35" s="147">
        <f t="shared" si="9"/>
        <v>0</v>
      </c>
      <c r="BK35" s="147">
        <f>_xlfn.IFNA(VALUE(INDEX(Producer!$E:$E,MATCH($D35,Producer!$A:$A,0)))*100,"")</f>
        <v>75</v>
      </c>
      <c r="BL35" s="146" t="str">
        <f>_xlfn.IFNA(IF(IFERROR(FIND("Part &amp; Part",B35),-10)&gt;0,"PP",IF(OR(LEFT(B35,25)="Residential Interest Only",INDEX(Producer!$P:$P,MATCH($D35,Producer!$A:$A,0))="IO",INDEX(Producer!$P:$P,MATCH($D35,Producer!$A:$A,0))="Retirement Interest Only"),"IO",IF($C35="BuyToLet","CI, IO","CI"))),"")</f>
        <v>CI, IO</v>
      </c>
      <c r="BM35" s="152">
        <f>_xlfn.IFNA(IF(BL35="IO",100%,IF(AND(INDEX(Producer!$P:$P,MATCH($D35,Producer!$A:$A,0))="Residential Interest Only Part &amp; Part",BK35=75),80%,IF(C35="BuyToLet",100%,IF(BL35="Interest Only",100%,IF(AND(INDEX(Producer!$P:$P,MATCH($D35,Producer!$A:$A,0))="Residential Interest Only Part &amp; Part",BK35=60),100%,""))))),"")</f>
        <v>1</v>
      </c>
      <c r="BN35" s="218">
        <f>_xlfn.IFNA(IF(VALUE(INDEX(Producer!$H:$H,MATCH($D35,Producer!$A:$A,0)))=0,"",VALUE(INDEX(Producer!$H:$H,MATCH($D35,Producer!$A:$A,0)))),"")</f>
        <v>999</v>
      </c>
      <c r="BO35" s="153"/>
      <c r="BP35" s="153"/>
      <c r="BQ35" s="219">
        <f t="shared" si="10"/>
        <v>35</v>
      </c>
      <c r="BR35" s="146"/>
      <c r="BS35" s="146"/>
      <c r="BT35" s="146"/>
      <c r="BU35" s="146"/>
      <c r="BV35" s="219">
        <f t="shared" si="11"/>
        <v>199</v>
      </c>
      <c r="BW35" s="146"/>
      <c r="BX35" s="146"/>
      <c r="BY35" s="146" t="str">
        <f t="shared" si="12"/>
        <v>No</v>
      </c>
      <c r="BZ35" s="146" t="str">
        <f t="shared" si="13"/>
        <v>No</v>
      </c>
      <c r="CA35" s="146" t="str">
        <f t="shared" si="14"/>
        <v>No</v>
      </c>
      <c r="CB35" s="146" t="str">
        <f t="shared" si="15"/>
        <v>No</v>
      </c>
      <c r="CC35" s="146" t="str">
        <f>_xlfn.IFNA(IF(INDEX(Producer!$P:$P,MATCH($D35,Producer!$A:$A,0))="Help to Buy","Only available","No"),"")</f>
        <v>No</v>
      </c>
      <c r="CD35" s="146" t="str">
        <f>_xlfn.IFNA(IF(INDEX(Producer!$P:$P,MATCH($D35,Producer!$A:$A,0))="Shared Ownership","Only available","No"),"")</f>
        <v>No</v>
      </c>
      <c r="CE35" s="146" t="str">
        <f>_xlfn.IFNA(IF(INDEX(Producer!$P:$P,MATCH($D35,Producer!$A:$A,0))="Right to Buy","Only available","No"),"")</f>
        <v>No</v>
      </c>
      <c r="CF35" s="146" t="str">
        <f t="shared" si="16"/>
        <v>No</v>
      </c>
      <c r="CG35" s="146" t="str">
        <f>_xlfn.IFNA(IF(INDEX(Producer!$P:$P,MATCH($D35,Producer!$A:$A,0))="Retirement Interest Only","Only available","No"),"")</f>
        <v>No</v>
      </c>
      <c r="CH35" s="146" t="str">
        <f t="shared" si="17"/>
        <v>No</v>
      </c>
      <c r="CI35" s="146" t="str">
        <f>_xlfn.IFNA(IF(INDEX(Producer!$P:$P,MATCH($D35,Producer!$A:$A,0))="Intermediary Holiday Let","Only available","No"),"")</f>
        <v>No</v>
      </c>
      <c r="CJ35" s="146" t="str">
        <f t="shared" si="18"/>
        <v>No</v>
      </c>
      <c r="CK35" s="146" t="str">
        <f>_xlfn.IFNA(IF(OR(INDEX(Producer!$P:$P,MATCH($D35,Producer!$A:$A,0))="Intermediary Small HMO",INDEX(Producer!$P:$P,MATCH($D35,Producer!$A:$A,0))="Intermediary Large HMO"),"Only available","No"),"")</f>
        <v>No</v>
      </c>
      <c r="CL35" s="146" t="str">
        <f t="shared" si="19"/>
        <v>Also available</v>
      </c>
      <c r="CM35" s="146" t="str">
        <f t="shared" si="20"/>
        <v>No</v>
      </c>
      <c r="CN35" s="146" t="str">
        <f t="shared" si="21"/>
        <v>No</v>
      </c>
      <c r="CO35" s="146" t="str">
        <f t="shared" si="22"/>
        <v>Also available</v>
      </c>
      <c r="CP35" s="146" t="str">
        <f t="shared" si="23"/>
        <v>No</v>
      </c>
      <c r="CQ35" s="146" t="str">
        <f t="shared" si="24"/>
        <v>No</v>
      </c>
      <c r="CR35" s="146" t="str">
        <f t="shared" si="25"/>
        <v>Also available</v>
      </c>
      <c r="CS35" s="146" t="str">
        <f t="shared" si="26"/>
        <v>Only available</v>
      </c>
      <c r="CT35" s="146" t="str">
        <f t="shared" si="27"/>
        <v>No</v>
      </c>
      <c r="CU35" s="146"/>
    </row>
    <row r="36" spans="1:99" ht="16.399999999999999" customHeight="1" x14ac:dyDescent="0.35">
      <c r="A36" s="145" t="str">
        <f t="shared" si="0"/>
        <v>Leeds Building Society</v>
      </c>
      <c r="B36" s="145" t="str">
        <f>_xlfn.IFNA(_xlfn.CONCAT(INDEX(Producer!$P:$P,MATCH($D36,Producer!$A:$A,0))," ",IF(INDEX(Producer!$N:$N,MATCH($D36,Producer!$A:$A,0))="Yes","Green ",""),IF(AND(INDEX(Producer!$L:$L,MATCH($D36,Producer!$A:$A,0))="No",INDEX(Producer!$C:$C,MATCH($D36,Producer!$A:$A,0))="Fixed"),"Flexit ",""),INDEX(Producer!$B:$B,MATCH($D36,Producer!$A:$A,0))," Year ",INDEX(Producer!$C:$C,MATCH($D36,Producer!$A:$A,0))," ",VALUE(INDEX(Producer!$E:$E,MATCH($D36,Producer!$A:$A,0)))*100,"% LTV",IF(INDEX(Producer!$N:$N,MATCH($D36,Producer!$A:$A,0))="Yes"," (EPC A-C)","")," - ",IF(INDEX(Producer!$D:$D,MATCH($D36,Producer!$A:$A,0))="DLY","Daily","Annual")),"")</f>
        <v>BTL 2 Year Fixed 75% LTV - Daily</v>
      </c>
      <c r="C36" s="146" t="str">
        <f>_xlfn.IFNA(INDEX(Producer!$Q:$Q,MATCH($D36,Producer!$A:$A,0)),"")</f>
        <v>BuyToLet</v>
      </c>
      <c r="D36" s="146">
        <f>IFERROR(VALUE(MID(Producer!$R$2,IF($D35="",1/0,FIND(_xlfn.CONCAT($D34,$D35),Producer!$R$2)+10),5)),"")</f>
        <v>54290</v>
      </c>
      <c r="E36" s="146" t="str">
        <f t="shared" si="1"/>
        <v>Stepped Fixed</v>
      </c>
      <c r="F36" s="146"/>
      <c r="G36" s="147">
        <f>_xlfn.IFNA(VALUE(INDEX(Producer!$F:$F,MATCH($D36,Producer!$A:$A,0)))*100,"")</f>
        <v>6.03</v>
      </c>
      <c r="H36" s="216">
        <f>_xlfn.IFNA(IFERROR(DATEVALUE(INDEX(Producer!$M:$M,MATCH($D36,Producer!$A:$A,0))),(INDEX(Producer!$M:$M,MATCH($D36,Producer!$A:$A,0)))),"")</f>
        <v>46418</v>
      </c>
      <c r="I36" s="217">
        <f>_xlfn.IFNA(VALUE(INDEX(Producer!$B:$B,MATCH($D36,Producer!$A:$A,0)))*12,"")</f>
        <v>24</v>
      </c>
      <c r="J36" s="146">
        <f>_xlfn.IFNA(IF(C36="Residential",IF(VALUE(INDEX(Producer!$B:$B,MATCH($D36,Producer!$A:$A,0)))&lt;5,Constants!$C$10,""),IF(VALUE(INDEX(Producer!$B:$B,MATCH($D36,Producer!$A:$A,0)))&lt;5,Constants!$C$11,"")),"")</f>
        <v>7.54</v>
      </c>
      <c r="K36" s="216">
        <f>_xlfn.IFNA(IF(($I36)&lt;60,DATE(YEAR(H36)+(5-VALUE(INDEX(Producer!$B:$B,MATCH($D36,Producer!$A:$A,0)))),MONTH(H36),DAY(H36)),""),"")</f>
        <v>47514</v>
      </c>
      <c r="L36" s="153">
        <f t="shared" si="2"/>
        <v>36</v>
      </c>
      <c r="M36" s="146"/>
      <c r="N36" s="148"/>
      <c r="O36" s="148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>
        <f>IF(D36="","",IF(C36="Residential",Constants!$B$10,Constants!$B$11))</f>
        <v>8.5399999999999991</v>
      </c>
      <c r="AL36" s="146" t="str">
        <f t="shared" si="3"/>
        <v>BVR</v>
      </c>
      <c r="AM36" s="206" t="str">
        <f t="shared" si="4"/>
        <v/>
      </c>
      <c r="AN36" s="146">
        <f t="shared" si="5"/>
        <v>10</v>
      </c>
      <c r="AO36" s="149" t="str">
        <f t="shared" si="6"/>
        <v>Remortgage</v>
      </c>
      <c r="AP36" s="150" t="str">
        <f t="shared" si="7"/>
        <v>ProductTransfer</v>
      </c>
      <c r="AQ36" s="146">
        <f>IFERROR(_xlfn.IFNA(IF($BA36="No",0,IF(INDEX(Constants!B:B,MATCH(($I36/12),Constants!$A:$A,0))=0,0,INDEX(Constants!B:B,MATCH(($I36/12),Constants!$A:$A,0)))),0),"")</f>
        <v>2.5</v>
      </c>
      <c r="AR36" s="146">
        <f>IFERROR(_xlfn.IFNA(IF($BA36="No",0,IF(INDEX(Constants!C:C,MATCH(($I36/12),Constants!$A:$A,0))=0,0,INDEX(Constants!C:C,MATCH(($I36/12),Constants!$A:$A,0)))),0),"")</f>
        <v>1.5</v>
      </c>
      <c r="AS36" s="146">
        <f>IFERROR(_xlfn.IFNA(IF($BA36="No",0,IF(INDEX(Constants!D:D,MATCH(($I36/12),Constants!$A:$A,0))=0,0,INDEX(Constants!D:D,MATCH(($I36/12),Constants!$A:$A,0)))),0),"")</f>
        <v>0</v>
      </c>
      <c r="AT36" s="146">
        <f>IFERROR(_xlfn.IFNA(IF($BA36="No",0,IF(INDEX(Constants!E:E,MATCH(($I36/12),Constants!$A:$A,0))=0,0,INDEX(Constants!E:E,MATCH(($I36/12),Constants!$A:$A,0)))),0),"")</f>
        <v>0</v>
      </c>
      <c r="AU36" s="146">
        <f>IFERROR(_xlfn.IFNA(IF($BA36="No",0,IF(INDEX(Constants!F:F,MATCH(($I36/12),Constants!$A:$A,0))=0,0,INDEX(Constants!F:F,MATCH(($I36/12),Constants!$A:$A,0)))),0),"")</f>
        <v>0</v>
      </c>
      <c r="AV36" s="146">
        <f>IFERROR(_xlfn.IFNA(IF($BA36="No",0,IF(INDEX(Constants!G:G,MATCH(($I36/12),Constants!$A:$A,0))=0,0,INDEX(Constants!G:G,MATCH(($I36/12),Constants!$A:$A,0)))),0),"")</f>
        <v>0</v>
      </c>
      <c r="AW36" s="146">
        <f>IFERROR(_xlfn.IFNA(IF($BA36="No",0,IF(INDEX(Constants!H:H,MATCH(($I36/12),Constants!$A:$A,0))=0,0,INDEX(Constants!H:H,MATCH(($I36/12),Constants!$A:$A,0)))),0),"")</f>
        <v>0</v>
      </c>
      <c r="AX36" s="146">
        <f>IFERROR(_xlfn.IFNA(IF($BA36="No",0,IF(INDEX(Constants!I:I,MATCH(($I36/12),Constants!$A:$A,0))=0,0,INDEX(Constants!I:I,MATCH(($I36/12),Constants!$A:$A,0)))),0),"")</f>
        <v>0</v>
      </c>
      <c r="AY36" s="146">
        <f>IFERROR(_xlfn.IFNA(IF($BA36="No",0,IF(INDEX(Constants!J:J,MATCH(($I36/12),Constants!$A:$A,0))=0,0,INDEX(Constants!J:J,MATCH(($I36/12),Constants!$A:$A,0)))),0),"")</f>
        <v>0</v>
      </c>
      <c r="AZ36" s="146">
        <f>IFERROR(_xlfn.IFNA(IF($BA36="No",0,IF(INDEX(Constants!K:K,MATCH(($I36/12),Constants!$A:$A,0))=0,0,INDEX(Constants!K:K,MATCH(($I36/12),Constants!$A:$A,0)))),0),"")</f>
        <v>0</v>
      </c>
      <c r="BA36" s="147" t="str">
        <f>_xlfn.IFNA(INDEX(Producer!$L:$L,MATCH($D36,Producer!$A:$A,0)),"")</f>
        <v>Yes</v>
      </c>
      <c r="BB36" s="146" t="str">
        <f>IFERROR(IF(AQ36=0,"",IF(($I36/12)=15,_xlfn.CONCAT(Constants!$N$7,TEXT(DATE(YEAR(H36)-(($I36/12)-3),MONTH(H36),DAY(H36)),"dd/mm/yyyy"),", ",Constants!$P$7,TEXT(DATE(YEAR(H36)-(($I36/12)-8),MONTH(H36),DAY(H36)),"dd/mm/yyyy"),", ",Constants!$T$7,TEXT(DATE(YEAR(H36)-(($I36/12)-11),MONTH(H36),DAY(H36)),"dd/mm/yyyy"),", ",Constants!$V$7,TEXT(DATE(YEAR(H36)-(($I36/12)-13),MONTH(H36),DAY(H36)),"dd/mm/yyyy"),", ",Constants!$W$7,TEXT($H36,"dd/mm/yyyy")),IF(($I36/12)=10,_xlfn.CONCAT(Constants!$N$6,TEXT(DATE(YEAR(H36)-(($I36/12)-2),MONTH(H36),DAY(H36)),"dd/mm/yyyy"),", ",Constants!$P$6,TEXT(DATE(YEAR(H36)-(($I36/12)-6),MONTH(H36),DAY(H36)),"dd/mm/yyyy"),", ",Constants!$T$6,TEXT(DATE(YEAR(H36)-(($I36/12)-8),MONTH(H36),DAY(H36)),"dd/mm/yyyy"),", ",Constants!$V$6,TEXT(DATE(YEAR(H36)-(($I36/12)-9),MONTH(H36),DAY(H36)),"dd/mm/yyyy"),", ",Constants!$W$6,TEXT($H36,"dd/mm/yyyy")),IF(($I36/12)=5,_xlfn.CONCAT(Constants!$N$5,TEXT(DATE(YEAR(H36)-(($I36/12)-1),MONTH(H36),DAY(H36)),"dd/mm/yyyy"),", ",Constants!$O$5,TEXT(DATE(YEAR(H36)-(($I36/12)-2),MONTH(H36),DAY(H36)),"dd/mm/yyyy"),", ",Constants!$P$5,TEXT(DATE(YEAR(H36)-(($I36/12)-3),MONTH(H36),DAY(H36)),"dd/mm/yyyy"),", ",Constants!$Q$5,TEXT(DATE(YEAR(H36)-(($I36/12)-4),MONTH(H36),DAY(H36)),"dd/mm/yyyy"),", ",Constants!$R$5,TEXT($H36,"dd/mm/yyyy")),IF(($I36/12)=3,_xlfn.CONCAT(Constants!$N$4,TEXT(DATE(YEAR(H36)-(($I36/12)-1),MONTH(H36),DAY(H36)),"dd/mm/yyyy"),", ",Constants!$O$4,TEXT(DATE(YEAR(H36)-(($I36/12)-2),MONTH(H36),DAY(H36)),"dd/mm/yyyy"),", ",Constants!$P$4,TEXT($H36,"dd/mm/yyyy")),IF(($I36/12)=2,_xlfn.CONCAT(Constants!$N$3,TEXT(DATE(YEAR(H36)-(($I36/12)-1),MONTH(H36),DAY(H36)),"dd/mm/yyyy"),", ",Constants!$O$3,TEXT($H36,"dd/mm/yyyy")),IF(($I36/12)=1,_xlfn.CONCAT(Constants!$N$2,TEXT($H36,"dd/mm/yyyy")),"Update Constants"))))))),"")</f>
        <v>2.5% to 31/01/2026, 1.5% to 31/01/2027</v>
      </c>
      <c r="BC36" s="147">
        <f>_xlfn.IFNA(VALUE(INDEX(Producer!$K:$K,MATCH($D36,Producer!$A:$A,0))),"")</f>
        <v>0</v>
      </c>
      <c r="BD36" s="147" t="str">
        <f>_xlfn.IFNA(INDEX(Producer!$I:$I,MATCH($D36,Producer!$A:$A,0)),"")</f>
        <v>No</v>
      </c>
      <c r="BE36" s="147" t="str">
        <f t="shared" si="8"/>
        <v>Yes</v>
      </c>
      <c r="BF36" s="147"/>
      <c r="BG36" s="147"/>
      <c r="BH36" s="151">
        <f>_xlfn.IFNA(INDEX(Constants!$B:$B,MATCH(BC36,Constants!A:A,0)),"")</f>
        <v>0</v>
      </c>
      <c r="BI36" s="147">
        <f>IF(LEFT(B36,15)="Limited Company",Constants!$D$16,IFERROR(_xlfn.IFNA(IF(C36="Residential",IF(BK36&lt;75,INDEX(Constants!$B:$B,MATCH(VALUE(60)/100,Constants!$A:$A,0)),INDEX(Constants!$B:$B,MATCH(VALUE(BK36)/100,Constants!$A:$A,0))),IF(BK36&lt;60,INDEX(Constants!$C:$C,MATCH(VALUE(60)/100,Constants!$A:$A,0)),INDEX(Constants!$C:$C,MATCH(VALUE(BK36)/100,Constants!$A:$A,0)))),""),""))</f>
        <v>1000000</v>
      </c>
      <c r="BJ36" s="147">
        <f t="shared" si="9"/>
        <v>0</v>
      </c>
      <c r="BK36" s="147">
        <f>_xlfn.IFNA(VALUE(INDEX(Producer!$E:$E,MATCH($D36,Producer!$A:$A,0)))*100,"")</f>
        <v>75</v>
      </c>
      <c r="BL36" s="146" t="str">
        <f>_xlfn.IFNA(IF(IFERROR(FIND("Part &amp; Part",B36),-10)&gt;0,"PP",IF(OR(LEFT(B36,25)="Residential Interest Only",INDEX(Producer!$P:$P,MATCH($D36,Producer!$A:$A,0))="IO",INDEX(Producer!$P:$P,MATCH($D36,Producer!$A:$A,0))="Retirement Interest Only"),"IO",IF($C36="BuyToLet","CI, IO","CI"))),"")</f>
        <v>CI, IO</v>
      </c>
      <c r="BM36" s="152">
        <f>_xlfn.IFNA(IF(BL36="IO",100%,IF(AND(INDEX(Producer!$P:$P,MATCH($D36,Producer!$A:$A,0))="Residential Interest Only Part &amp; Part",BK36=75),80%,IF(C36="BuyToLet",100%,IF(BL36="Interest Only",100%,IF(AND(INDEX(Producer!$P:$P,MATCH($D36,Producer!$A:$A,0))="Residential Interest Only Part &amp; Part",BK36=60),100%,""))))),"")</f>
        <v>1</v>
      </c>
      <c r="BN36" s="218" t="str">
        <f>_xlfn.IFNA(IF(VALUE(INDEX(Producer!$H:$H,MATCH($D36,Producer!$A:$A,0)))=0,"",VALUE(INDEX(Producer!$H:$H,MATCH($D36,Producer!$A:$A,0)))),"")</f>
        <v/>
      </c>
      <c r="BO36" s="153"/>
      <c r="BP36" s="153"/>
      <c r="BQ36" s="219">
        <f t="shared" si="10"/>
        <v>35</v>
      </c>
      <c r="BR36" s="146"/>
      <c r="BS36" s="146"/>
      <c r="BT36" s="146"/>
      <c r="BU36" s="146"/>
      <c r="BV36" s="219">
        <f t="shared" si="11"/>
        <v>199</v>
      </c>
      <c r="BW36" s="146"/>
      <c r="BX36" s="146"/>
      <c r="BY36" s="146" t="str">
        <f t="shared" si="12"/>
        <v>No</v>
      </c>
      <c r="BZ36" s="146" t="str">
        <f t="shared" si="13"/>
        <v>No</v>
      </c>
      <c r="CA36" s="146" t="str">
        <f t="shared" si="14"/>
        <v>No</v>
      </c>
      <c r="CB36" s="146" t="str">
        <f t="shared" si="15"/>
        <v>No</v>
      </c>
      <c r="CC36" s="146" t="str">
        <f>_xlfn.IFNA(IF(INDEX(Producer!$P:$P,MATCH($D36,Producer!$A:$A,0))="Help to Buy","Only available","No"),"")</f>
        <v>No</v>
      </c>
      <c r="CD36" s="146" t="str">
        <f>_xlfn.IFNA(IF(INDEX(Producer!$P:$P,MATCH($D36,Producer!$A:$A,0))="Shared Ownership","Only available","No"),"")</f>
        <v>No</v>
      </c>
      <c r="CE36" s="146" t="str">
        <f>_xlfn.IFNA(IF(INDEX(Producer!$P:$P,MATCH($D36,Producer!$A:$A,0))="Right to Buy","Only available","No"),"")</f>
        <v>No</v>
      </c>
      <c r="CF36" s="146" t="str">
        <f t="shared" si="16"/>
        <v>No</v>
      </c>
      <c r="CG36" s="146" t="str">
        <f>_xlfn.IFNA(IF(INDEX(Producer!$P:$P,MATCH($D36,Producer!$A:$A,0))="Retirement Interest Only","Only available","No"),"")</f>
        <v>No</v>
      </c>
      <c r="CH36" s="146" t="str">
        <f t="shared" si="17"/>
        <v>No</v>
      </c>
      <c r="CI36" s="146" t="str">
        <f>_xlfn.IFNA(IF(INDEX(Producer!$P:$P,MATCH($D36,Producer!$A:$A,0))="Intermediary Holiday Let","Only available","No"),"")</f>
        <v>No</v>
      </c>
      <c r="CJ36" s="146" t="str">
        <f t="shared" si="18"/>
        <v>No</v>
      </c>
      <c r="CK36" s="146" t="str">
        <f>_xlfn.IFNA(IF(OR(INDEX(Producer!$P:$P,MATCH($D36,Producer!$A:$A,0))="Intermediary Small HMO",INDEX(Producer!$P:$P,MATCH($D36,Producer!$A:$A,0))="Intermediary Large HMO"),"Only available","No"),"")</f>
        <v>No</v>
      </c>
      <c r="CL36" s="146" t="str">
        <f t="shared" si="19"/>
        <v>Also available</v>
      </c>
      <c r="CM36" s="146" t="str">
        <f t="shared" si="20"/>
        <v>No</v>
      </c>
      <c r="CN36" s="146" t="str">
        <f t="shared" si="21"/>
        <v>No</v>
      </c>
      <c r="CO36" s="146" t="str">
        <f t="shared" si="22"/>
        <v>Also available</v>
      </c>
      <c r="CP36" s="146" t="str">
        <f t="shared" si="23"/>
        <v>No</v>
      </c>
      <c r="CQ36" s="146" t="str">
        <f t="shared" si="24"/>
        <v>No</v>
      </c>
      <c r="CR36" s="146" t="str">
        <f t="shared" si="25"/>
        <v>Also available</v>
      </c>
      <c r="CS36" s="146" t="str">
        <f t="shared" si="26"/>
        <v>Only available</v>
      </c>
      <c r="CT36" s="146" t="str">
        <f t="shared" si="27"/>
        <v>No</v>
      </c>
      <c r="CU36" s="146"/>
    </row>
    <row r="37" spans="1:99" ht="16.399999999999999" customHeight="1" x14ac:dyDescent="0.35">
      <c r="A37" s="145" t="str">
        <f t="shared" si="0"/>
        <v>Leeds Building Society</v>
      </c>
      <c r="B37" s="145" t="str">
        <f>_xlfn.IFNA(_xlfn.CONCAT(INDEX(Producer!$P:$P,MATCH($D37,Producer!$A:$A,0))," ",IF(INDEX(Producer!$N:$N,MATCH($D37,Producer!$A:$A,0))="Yes","Green ",""),IF(AND(INDEX(Producer!$L:$L,MATCH($D37,Producer!$A:$A,0))="No",INDEX(Producer!$C:$C,MATCH($D37,Producer!$A:$A,0))="Fixed"),"Flexit ",""),INDEX(Producer!$B:$B,MATCH($D37,Producer!$A:$A,0))," Year ",INDEX(Producer!$C:$C,MATCH($D37,Producer!$A:$A,0))," ",VALUE(INDEX(Producer!$E:$E,MATCH($D37,Producer!$A:$A,0)))*100,"% LTV",IF(INDEX(Producer!$N:$N,MATCH($D37,Producer!$A:$A,0))="Yes"," (EPC A-C)","")," - ",IF(INDEX(Producer!$D:$D,MATCH($D37,Producer!$A:$A,0))="DLY","Daily","Annual")),"")</f>
        <v>BTL 2 Year Fixed 125% LTV - Daily</v>
      </c>
      <c r="C37" s="146" t="str">
        <f>_xlfn.IFNA(INDEX(Producer!$Q:$Q,MATCH($D37,Producer!$A:$A,0)),"")</f>
        <v>BuyToLet</v>
      </c>
      <c r="D37" s="146">
        <f>IFERROR(VALUE(MID(Producer!$R$2,IF($D36="",1/0,FIND(_xlfn.CONCAT($D35,$D36),Producer!$R$2)+10),5)),"")</f>
        <v>54289</v>
      </c>
      <c r="E37" s="146" t="str">
        <f t="shared" si="1"/>
        <v>Stepped Fixed</v>
      </c>
      <c r="F37" s="146"/>
      <c r="G37" s="147">
        <f>_xlfn.IFNA(VALUE(INDEX(Producer!$F:$F,MATCH($D37,Producer!$A:$A,0)))*100,"")</f>
        <v>6.69</v>
      </c>
      <c r="H37" s="216">
        <f>_xlfn.IFNA(IFERROR(DATEVALUE(INDEX(Producer!$M:$M,MATCH($D37,Producer!$A:$A,0))),(INDEX(Producer!$M:$M,MATCH($D37,Producer!$A:$A,0)))),"")</f>
        <v>46418</v>
      </c>
      <c r="I37" s="217">
        <f>_xlfn.IFNA(VALUE(INDEX(Producer!$B:$B,MATCH($D37,Producer!$A:$A,0)))*12,"")</f>
        <v>24</v>
      </c>
      <c r="J37" s="146">
        <f>_xlfn.IFNA(IF(C37="Residential",IF(VALUE(INDEX(Producer!$B:$B,MATCH($D37,Producer!$A:$A,0)))&lt;5,Constants!$C$10,""),IF(VALUE(INDEX(Producer!$B:$B,MATCH($D37,Producer!$A:$A,0)))&lt;5,Constants!$C$11,"")),"")</f>
        <v>7.54</v>
      </c>
      <c r="K37" s="216">
        <f>_xlfn.IFNA(IF(($I37)&lt;60,DATE(YEAR(H37)+(5-VALUE(INDEX(Producer!$B:$B,MATCH($D37,Producer!$A:$A,0)))),MONTH(H37),DAY(H37)),""),"")</f>
        <v>47514</v>
      </c>
      <c r="L37" s="153">
        <f t="shared" si="2"/>
        <v>36</v>
      </c>
      <c r="M37" s="146"/>
      <c r="N37" s="148"/>
      <c r="O37" s="148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>
        <f>IF(D37="","",IF(C37="Residential",Constants!$B$10,Constants!$B$11))</f>
        <v>8.5399999999999991</v>
      </c>
      <c r="AL37" s="146" t="str">
        <f t="shared" si="3"/>
        <v>BVR</v>
      </c>
      <c r="AM37" s="206" t="str">
        <f t="shared" si="4"/>
        <v/>
      </c>
      <c r="AN37" s="146">
        <f t="shared" si="5"/>
        <v>10</v>
      </c>
      <c r="AO37" s="149" t="str">
        <f t="shared" si="6"/>
        <v>Remortgage</v>
      </c>
      <c r="AP37" s="150" t="str">
        <f t="shared" si="7"/>
        <v>ProductTransfer</v>
      </c>
      <c r="AQ37" s="146">
        <f>IFERROR(_xlfn.IFNA(IF($BA37="No",0,IF(INDEX(Constants!B:B,MATCH(($I37/12),Constants!$A:$A,0))=0,0,INDEX(Constants!B:B,MATCH(($I37/12),Constants!$A:$A,0)))),0),"")</f>
        <v>2.5</v>
      </c>
      <c r="AR37" s="146">
        <f>IFERROR(_xlfn.IFNA(IF($BA37="No",0,IF(INDEX(Constants!C:C,MATCH(($I37/12),Constants!$A:$A,0))=0,0,INDEX(Constants!C:C,MATCH(($I37/12),Constants!$A:$A,0)))),0),"")</f>
        <v>1.5</v>
      </c>
      <c r="AS37" s="146">
        <f>IFERROR(_xlfn.IFNA(IF($BA37="No",0,IF(INDEX(Constants!D:D,MATCH(($I37/12),Constants!$A:$A,0))=0,0,INDEX(Constants!D:D,MATCH(($I37/12),Constants!$A:$A,0)))),0),"")</f>
        <v>0</v>
      </c>
      <c r="AT37" s="146">
        <f>IFERROR(_xlfn.IFNA(IF($BA37="No",0,IF(INDEX(Constants!E:E,MATCH(($I37/12),Constants!$A:$A,0))=0,0,INDEX(Constants!E:E,MATCH(($I37/12),Constants!$A:$A,0)))),0),"")</f>
        <v>0</v>
      </c>
      <c r="AU37" s="146">
        <f>IFERROR(_xlfn.IFNA(IF($BA37="No",0,IF(INDEX(Constants!F:F,MATCH(($I37/12),Constants!$A:$A,0))=0,0,INDEX(Constants!F:F,MATCH(($I37/12),Constants!$A:$A,0)))),0),"")</f>
        <v>0</v>
      </c>
      <c r="AV37" s="146">
        <f>IFERROR(_xlfn.IFNA(IF($BA37="No",0,IF(INDEX(Constants!G:G,MATCH(($I37/12),Constants!$A:$A,0))=0,0,INDEX(Constants!G:G,MATCH(($I37/12),Constants!$A:$A,0)))),0),"")</f>
        <v>0</v>
      </c>
      <c r="AW37" s="146">
        <f>IFERROR(_xlfn.IFNA(IF($BA37="No",0,IF(INDEX(Constants!H:H,MATCH(($I37/12),Constants!$A:$A,0))=0,0,INDEX(Constants!H:H,MATCH(($I37/12),Constants!$A:$A,0)))),0),"")</f>
        <v>0</v>
      </c>
      <c r="AX37" s="146">
        <f>IFERROR(_xlfn.IFNA(IF($BA37="No",0,IF(INDEX(Constants!I:I,MATCH(($I37/12),Constants!$A:$A,0))=0,0,INDEX(Constants!I:I,MATCH(($I37/12),Constants!$A:$A,0)))),0),"")</f>
        <v>0</v>
      </c>
      <c r="AY37" s="146">
        <f>IFERROR(_xlfn.IFNA(IF($BA37="No",0,IF(INDEX(Constants!J:J,MATCH(($I37/12),Constants!$A:$A,0))=0,0,INDEX(Constants!J:J,MATCH(($I37/12),Constants!$A:$A,0)))),0),"")</f>
        <v>0</v>
      </c>
      <c r="AZ37" s="146">
        <f>IFERROR(_xlfn.IFNA(IF($BA37="No",0,IF(INDEX(Constants!K:K,MATCH(($I37/12),Constants!$A:$A,0))=0,0,INDEX(Constants!K:K,MATCH(($I37/12),Constants!$A:$A,0)))),0),"")</f>
        <v>0</v>
      </c>
      <c r="BA37" s="147" t="str">
        <f>_xlfn.IFNA(INDEX(Producer!$L:$L,MATCH($D37,Producer!$A:$A,0)),"")</f>
        <v>Yes</v>
      </c>
      <c r="BB37" s="146" t="str">
        <f>IFERROR(IF(AQ37=0,"",IF(($I37/12)=15,_xlfn.CONCAT(Constants!$N$7,TEXT(DATE(YEAR(H37)-(($I37/12)-3),MONTH(H37),DAY(H37)),"dd/mm/yyyy"),", ",Constants!$P$7,TEXT(DATE(YEAR(H37)-(($I37/12)-8),MONTH(H37),DAY(H37)),"dd/mm/yyyy"),", ",Constants!$T$7,TEXT(DATE(YEAR(H37)-(($I37/12)-11),MONTH(H37),DAY(H37)),"dd/mm/yyyy"),", ",Constants!$V$7,TEXT(DATE(YEAR(H37)-(($I37/12)-13),MONTH(H37),DAY(H37)),"dd/mm/yyyy"),", ",Constants!$W$7,TEXT($H37,"dd/mm/yyyy")),IF(($I37/12)=10,_xlfn.CONCAT(Constants!$N$6,TEXT(DATE(YEAR(H37)-(($I37/12)-2),MONTH(H37),DAY(H37)),"dd/mm/yyyy"),", ",Constants!$P$6,TEXT(DATE(YEAR(H37)-(($I37/12)-6),MONTH(H37),DAY(H37)),"dd/mm/yyyy"),", ",Constants!$T$6,TEXT(DATE(YEAR(H37)-(($I37/12)-8),MONTH(H37),DAY(H37)),"dd/mm/yyyy"),", ",Constants!$V$6,TEXT(DATE(YEAR(H37)-(($I37/12)-9),MONTH(H37),DAY(H37)),"dd/mm/yyyy"),", ",Constants!$W$6,TEXT($H37,"dd/mm/yyyy")),IF(($I37/12)=5,_xlfn.CONCAT(Constants!$N$5,TEXT(DATE(YEAR(H37)-(($I37/12)-1),MONTH(H37),DAY(H37)),"dd/mm/yyyy"),", ",Constants!$O$5,TEXT(DATE(YEAR(H37)-(($I37/12)-2),MONTH(H37),DAY(H37)),"dd/mm/yyyy"),", ",Constants!$P$5,TEXT(DATE(YEAR(H37)-(($I37/12)-3),MONTH(H37),DAY(H37)),"dd/mm/yyyy"),", ",Constants!$Q$5,TEXT(DATE(YEAR(H37)-(($I37/12)-4),MONTH(H37),DAY(H37)),"dd/mm/yyyy"),", ",Constants!$R$5,TEXT($H37,"dd/mm/yyyy")),IF(($I37/12)=3,_xlfn.CONCAT(Constants!$N$4,TEXT(DATE(YEAR(H37)-(($I37/12)-1),MONTH(H37),DAY(H37)),"dd/mm/yyyy"),", ",Constants!$O$4,TEXT(DATE(YEAR(H37)-(($I37/12)-2),MONTH(H37),DAY(H37)),"dd/mm/yyyy"),", ",Constants!$P$4,TEXT($H37,"dd/mm/yyyy")),IF(($I37/12)=2,_xlfn.CONCAT(Constants!$N$3,TEXT(DATE(YEAR(H37)-(($I37/12)-1),MONTH(H37),DAY(H37)),"dd/mm/yyyy"),", ",Constants!$O$3,TEXT($H37,"dd/mm/yyyy")),IF(($I37/12)=1,_xlfn.CONCAT(Constants!$N$2,TEXT($H37,"dd/mm/yyyy")),"Update Constants"))))))),"")</f>
        <v>2.5% to 31/01/2026, 1.5% to 31/01/2027</v>
      </c>
      <c r="BC37" s="147">
        <f>_xlfn.IFNA(VALUE(INDEX(Producer!$K:$K,MATCH($D37,Producer!$A:$A,0))),"")</f>
        <v>0</v>
      </c>
      <c r="BD37" s="147" t="str">
        <f>_xlfn.IFNA(INDEX(Producer!$I:$I,MATCH($D37,Producer!$A:$A,0)),"")</f>
        <v>No</v>
      </c>
      <c r="BE37" s="147" t="str">
        <f t="shared" si="8"/>
        <v>Yes</v>
      </c>
      <c r="BF37" s="147"/>
      <c r="BG37" s="147"/>
      <c r="BH37" s="151">
        <f>_xlfn.IFNA(INDEX(Constants!$B:$B,MATCH(BC37,Constants!A:A,0)),"")</f>
        <v>0</v>
      </c>
      <c r="BI37" s="147" t="str">
        <f>IF(LEFT(B37,15)="Limited Company",Constants!$D$16,IFERROR(_xlfn.IFNA(IF(C37="Residential",IF(BK37&lt;75,INDEX(Constants!$B:$B,MATCH(VALUE(60)/100,Constants!$A:$A,0)),INDEX(Constants!$B:$B,MATCH(VALUE(BK37)/100,Constants!$A:$A,0))),IF(BK37&lt;60,INDEX(Constants!$C:$C,MATCH(VALUE(60)/100,Constants!$A:$A,0)),INDEX(Constants!$C:$C,MATCH(VALUE(BK37)/100,Constants!$A:$A,0)))),""),""))</f>
        <v/>
      </c>
      <c r="BJ37" s="147">
        <f t="shared" si="9"/>
        <v>0</v>
      </c>
      <c r="BK37" s="147">
        <f>_xlfn.IFNA(VALUE(INDEX(Producer!$E:$E,MATCH($D37,Producer!$A:$A,0)))*100,"")</f>
        <v>125</v>
      </c>
      <c r="BL37" s="146" t="str">
        <f>_xlfn.IFNA(IF(IFERROR(FIND("Part &amp; Part",B37),-10)&gt;0,"PP",IF(OR(LEFT(B37,25)="Residential Interest Only",INDEX(Producer!$P:$P,MATCH($D37,Producer!$A:$A,0))="IO",INDEX(Producer!$P:$P,MATCH($D37,Producer!$A:$A,0))="Retirement Interest Only"),"IO",IF($C37="BuyToLet","CI, IO","CI"))),"")</f>
        <v>CI, IO</v>
      </c>
      <c r="BM37" s="152">
        <f>_xlfn.IFNA(IF(BL37="IO",100%,IF(AND(INDEX(Producer!$P:$P,MATCH($D37,Producer!$A:$A,0))="Residential Interest Only Part &amp; Part",BK37=75),80%,IF(C37="BuyToLet",100%,IF(BL37="Interest Only",100%,IF(AND(INDEX(Producer!$P:$P,MATCH($D37,Producer!$A:$A,0))="Residential Interest Only Part &amp; Part",BK37=60),100%,""))))),"")</f>
        <v>1</v>
      </c>
      <c r="BN37" s="218" t="str">
        <f>_xlfn.IFNA(IF(VALUE(INDEX(Producer!$H:$H,MATCH($D37,Producer!$A:$A,0)))=0,"",VALUE(INDEX(Producer!$H:$H,MATCH($D37,Producer!$A:$A,0)))),"")</f>
        <v/>
      </c>
      <c r="BO37" s="153"/>
      <c r="BP37" s="153"/>
      <c r="BQ37" s="219">
        <f t="shared" si="10"/>
        <v>35</v>
      </c>
      <c r="BR37" s="146"/>
      <c r="BS37" s="146"/>
      <c r="BT37" s="146"/>
      <c r="BU37" s="146"/>
      <c r="BV37" s="219">
        <f t="shared" si="11"/>
        <v>199</v>
      </c>
      <c r="BW37" s="146"/>
      <c r="BX37" s="146"/>
      <c r="BY37" s="146" t="str">
        <f t="shared" si="12"/>
        <v>No</v>
      </c>
      <c r="BZ37" s="146" t="str">
        <f t="shared" si="13"/>
        <v>No</v>
      </c>
      <c r="CA37" s="146" t="str">
        <f t="shared" si="14"/>
        <v>No</v>
      </c>
      <c r="CB37" s="146" t="str">
        <f t="shared" si="15"/>
        <v>No</v>
      </c>
      <c r="CC37" s="146" t="str">
        <f>_xlfn.IFNA(IF(INDEX(Producer!$P:$P,MATCH($D37,Producer!$A:$A,0))="Help to Buy","Only available","No"),"")</f>
        <v>No</v>
      </c>
      <c r="CD37" s="146" t="str">
        <f>_xlfn.IFNA(IF(INDEX(Producer!$P:$P,MATCH($D37,Producer!$A:$A,0))="Shared Ownership","Only available","No"),"")</f>
        <v>No</v>
      </c>
      <c r="CE37" s="146" t="str">
        <f>_xlfn.IFNA(IF(INDEX(Producer!$P:$P,MATCH($D37,Producer!$A:$A,0))="Right to Buy","Only available","No"),"")</f>
        <v>No</v>
      </c>
      <c r="CF37" s="146" t="str">
        <f t="shared" si="16"/>
        <v>No</v>
      </c>
      <c r="CG37" s="146" t="str">
        <f>_xlfn.IFNA(IF(INDEX(Producer!$P:$P,MATCH($D37,Producer!$A:$A,0))="Retirement Interest Only","Only available","No"),"")</f>
        <v>No</v>
      </c>
      <c r="CH37" s="146" t="str">
        <f t="shared" si="17"/>
        <v>No</v>
      </c>
      <c r="CI37" s="146" t="str">
        <f>_xlfn.IFNA(IF(INDEX(Producer!$P:$P,MATCH($D37,Producer!$A:$A,0))="Intermediary Holiday Let","Only available","No"),"")</f>
        <v>No</v>
      </c>
      <c r="CJ37" s="146" t="str">
        <f t="shared" si="18"/>
        <v>No</v>
      </c>
      <c r="CK37" s="146" t="str">
        <f>_xlfn.IFNA(IF(OR(INDEX(Producer!$P:$P,MATCH($D37,Producer!$A:$A,0))="Intermediary Small HMO",INDEX(Producer!$P:$P,MATCH($D37,Producer!$A:$A,0))="Intermediary Large HMO"),"Only available","No"),"")</f>
        <v>No</v>
      </c>
      <c r="CL37" s="146" t="str">
        <f t="shared" si="19"/>
        <v>Also available</v>
      </c>
      <c r="CM37" s="146" t="str">
        <f t="shared" si="20"/>
        <v>No</v>
      </c>
      <c r="CN37" s="146" t="str">
        <f t="shared" si="21"/>
        <v>No</v>
      </c>
      <c r="CO37" s="146" t="str">
        <f t="shared" si="22"/>
        <v>No</v>
      </c>
      <c r="CP37" s="146" t="str">
        <f t="shared" si="23"/>
        <v>No</v>
      </c>
      <c r="CQ37" s="146" t="str">
        <f t="shared" si="24"/>
        <v>No</v>
      </c>
      <c r="CR37" s="146" t="str">
        <f t="shared" si="25"/>
        <v>Also available</v>
      </c>
      <c r="CS37" s="146" t="str">
        <f t="shared" si="26"/>
        <v>Only available</v>
      </c>
      <c r="CT37" s="146" t="str">
        <f t="shared" si="27"/>
        <v>No</v>
      </c>
      <c r="CU37" s="146"/>
    </row>
    <row r="38" spans="1:99" ht="16.399999999999999" customHeight="1" x14ac:dyDescent="0.35">
      <c r="A38" s="145" t="str">
        <f t="shared" si="0"/>
        <v>Leeds Building Society</v>
      </c>
      <c r="B38" s="145" t="str">
        <f>_xlfn.IFNA(_xlfn.CONCAT(INDEX(Producer!$P:$P,MATCH($D38,Producer!$A:$A,0))," ",IF(INDEX(Producer!$N:$N,MATCH($D38,Producer!$A:$A,0))="Yes","Green ",""),IF(AND(INDEX(Producer!$L:$L,MATCH($D38,Producer!$A:$A,0))="No",INDEX(Producer!$C:$C,MATCH($D38,Producer!$A:$A,0))="Fixed"),"Flexit ",""),INDEX(Producer!$B:$B,MATCH($D38,Producer!$A:$A,0))," Year ",INDEX(Producer!$C:$C,MATCH($D38,Producer!$A:$A,0))," ",VALUE(INDEX(Producer!$E:$E,MATCH($D38,Producer!$A:$A,0)))*100,"% LTV",IF(INDEX(Producer!$N:$N,MATCH($D38,Producer!$A:$A,0))="Yes"," (EPC A-C)","")," - ",IF(INDEX(Producer!$D:$D,MATCH($D38,Producer!$A:$A,0))="DLY","Daily","Annual")),"")</f>
        <v>BTL 5 Year Fixed 60% LTV - Daily</v>
      </c>
      <c r="C38" s="146" t="str">
        <f>_xlfn.IFNA(INDEX(Producer!$Q:$Q,MATCH($D38,Producer!$A:$A,0)),"")</f>
        <v>BuyToLet</v>
      </c>
      <c r="D38" s="146">
        <f>IFERROR(VALUE(MID(Producer!$R$2,IF($D37="",1/0,FIND(_xlfn.CONCAT($D36,$D37),Producer!$R$2)+10),5)),"")</f>
        <v>54293</v>
      </c>
      <c r="E38" s="146" t="str">
        <f t="shared" si="1"/>
        <v>Fixed</v>
      </c>
      <c r="F38" s="146"/>
      <c r="G38" s="147">
        <f>_xlfn.IFNA(VALUE(INDEX(Producer!$F:$F,MATCH($D38,Producer!$A:$A,0)))*100,"")</f>
        <v>4.1399999999999997</v>
      </c>
      <c r="H38" s="216">
        <f>_xlfn.IFNA(IFERROR(DATEVALUE(INDEX(Producer!$M:$M,MATCH($D38,Producer!$A:$A,0))),(INDEX(Producer!$M:$M,MATCH($D38,Producer!$A:$A,0)))),"")</f>
        <v>47514</v>
      </c>
      <c r="I38" s="217">
        <f>_xlfn.IFNA(VALUE(INDEX(Producer!$B:$B,MATCH($D38,Producer!$A:$A,0)))*12,"")</f>
        <v>60</v>
      </c>
      <c r="J38" s="146" t="str">
        <f>_xlfn.IFNA(IF(C38="Residential",IF(VALUE(INDEX(Producer!$B:$B,MATCH($D38,Producer!$A:$A,0)))&lt;5,Constants!$C$10,""),IF(VALUE(INDEX(Producer!$B:$B,MATCH($D38,Producer!$A:$A,0)))&lt;5,Constants!$C$11,"")),"")</f>
        <v/>
      </c>
      <c r="K38" s="216" t="str">
        <f>_xlfn.IFNA(IF(($I38)&lt;60,DATE(YEAR(H38)+(5-VALUE(INDEX(Producer!$B:$B,MATCH($D38,Producer!$A:$A,0)))),MONTH(H38),DAY(H38)),""),"")</f>
        <v/>
      </c>
      <c r="L38" s="153" t="str">
        <f t="shared" si="2"/>
        <v/>
      </c>
      <c r="M38" s="146"/>
      <c r="N38" s="148"/>
      <c r="O38" s="148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>
        <f>IF(D38="","",IF(C38="Residential",Constants!$B$10,Constants!$B$11))</f>
        <v>8.5399999999999991</v>
      </c>
      <c r="AL38" s="146" t="str">
        <f t="shared" si="3"/>
        <v>BVR</v>
      </c>
      <c r="AM38" s="206" t="str">
        <f t="shared" si="4"/>
        <v/>
      </c>
      <c r="AN38" s="146">
        <f t="shared" si="5"/>
        <v>10</v>
      </c>
      <c r="AO38" s="149" t="str">
        <f t="shared" si="6"/>
        <v>Remortgage</v>
      </c>
      <c r="AP38" s="150" t="str">
        <f t="shared" si="7"/>
        <v>ProductTransfer</v>
      </c>
      <c r="AQ38" s="146">
        <f>IFERROR(_xlfn.IFNA(IF($BA38="No",0,IF(INDEX(Constants!B:B,MATCH(($I38/12),Constants!$A:$A,0))=0,0,INDEX(Constants!B:B,MATCH(($I38/12),Constants!$A:$A,0)))),0),"")</f>
        <v>5</v>
      </c>
      <c r="AR38" s="146">
        <f>IFERROR(_xlfn.IFNA(IF($BA38="No",0,IF(INDEX(Constants!C:C,MATCH(($I38/12),Constants!$A:$A,0))=0,0,INDEX(Constants!C:C,MATCH(($I38/12),Constants!$A:$A,0)))),0),"")</f>
        <v>5</v>
      </c>
      <c r="AS38" s="146">
        <f>IFERROR(_xlfn.IFNA(IF($BA38="No",0,IF(INDEX(Constants!D:D,MATCH(($I38/12),Constants!$A:$A,0))=0,0,INDEX(Constants!D:D,MATCH(($I38/12),Constants!$A:$A,0)))),0),"")</f>
        <v>4</v>
      </c>
      <c r="AT38" s="146">
        <f>IFERROR(_xlfn.IFNA(IF($BA38="No",0,IF(INDEX(Constants!E:E,MATCH(($I38/12),Constants!$A:$A,0))=0,0,INDEX(Constants!E:E,MATCH(($I38/12),Constants!$A:$A,0)))),0),"")</f>
        <v>3</v>
      </c>
      <c r="AU38" s="146">
        <f>IFERROR(_xlfn.IFNA(IF($BA38="No",0,IF(INDEX(Constants!F:F,MATCH(($I38/12),Constants!$A:$A,0))=0,0,INDEX(Constants!F:F,MATCH(($I38/12),Constants!$A:$A,0)))),0),"")</f>
        <v>2</v>
      </c>
      <c r="AV38" s="146">
        <f>IFERROR(_xlfn.IFNA(IF($BA38="No",0,IF(INDEX(Constants!G:G,MATCH(($I38/12),Constants!$A:$A,0))=0,0,INDEX(Constants!G:G,MATCH(($I38/12),Constants!$A:$A,0)))),0),"")</f>
        <v>0</v>
      </c>
      <c r="AW38" s="146">
        <f>IFERROR(_xlfn.IFNA(IF($BA38="No",0,IF(INDEX(Constants!H:H,MATCH(($I38/12),Constants!$A:$A,0))=0,0,INDEX(Constants!H:H,MATCH(($I38/12),Constants!$A:$A,0)))),0),"")</f>
        <v>0</v>
      </c>
      <c r="AX38" s="146">
        <f>IFERROR(_xlfn.IFNA(IF($BA38="No",0,IF(INDEX(Constants!I:I,MATCH(($I38/12),Constants!$A:$A,0))=0,0,INDEX(Constants!I:I,MATCH(($I38/12),Constants!$A:$A,0)))),0),"")</f>
        <v>0</v>
      </c>
      <c r="AY38" s="146">
        <f>IFERROR(_xlfn.IFNA(IF($BA38="No",0,IF(INDEX(Constants!J:J,MATCH(($I38/12),Constants!$A:$A,0))=0,0,INDEX(Constants!J:J,MATCH(($I38/12),Constants!$A:$A,0)))),0),"")</f>
        <v>0</v>
      </c>
      <c r="AZ38" s="146">
        <f>IFERROR(_xlfn.IFNA(IF($BA38="No",0,IF(INDEX(Constants!K:K,MATCH(($I38/12),Constants!$A:$A,0))=0,0,INDEX(Constants!K:K,MATCH(($I38/12),Constants!$A:$A,0)))),0),"")</f>
        <v>0</v>
      </c>
      <c r="BA38" s="147" t="str">
        <f>_xlfn.IFNA(INDEX(Producer!$L:$L,MATCH($D38,Producer!$A:$A,0)),"")</f>
        <v>Yes</v>
      </c>
      <c r="BB38" s="146" t="str">
        <f>IFERROR(IF(AQ38=0,"",IF(($I38/12)=15,_xlfn.CONCAT(Constants!$N$7,TEXT(DATE(YEAR(H38)-(($I38/12)-3),MONTH(H38),DAY(H38)),"dd/mm/yyyy"),", ",Constants!$P$7,TEXT(DATE(YEAR(H38)-(($I38/12)-8),MONTH(H38),DAY(H38)),"dd/mm/yyyy"),", ",Constants!$T$7,TEXT(DATE(YEAR(H38)-(($I38/12)-11),MONTH(H38),DAY(H38)),"dd/mm/yyyy"),", ",Constants!$V$7,TEXT(DATE(YEAR(H38)-(($I38/12)-13),MONTH(H38),DAY(H38)),"dd/mm/yyyy"),", ",Constants!$W$7,TEXT($H38,"dd/mm/yyyy")),IF(($I38/12)=10,_xlfn.CONCAT(Constants!$N$6,TEXT(DATE(YEAR(H38)-(($I38/12)-2),MONTH(H38),DAY(H38)),"dd/mm/yyyy"),", ",Constants!$P$6,TEXT(DATE(YEAR(H38)-(($I38/12)-6),MONTH(H38),DAY(H38)),"dd/mm/yyyy"),", ",Constants!$T$6,TEXT(DATE(YEAR(H38)-(($I38/12)-8),MONTH(H38),DAY(H38)),"dd/mm/yyyy"),", ",Constants!$V$6,TEXT(DATE(YEAR(H38)-(($I38/12)-9),MONTH(H38),DAY(H38)),"dd/mm/yyyy"),", ",Constants!$W$6,TEXT($H38,"dd/mm/yyyy")),IF(($I38/12)=5,_xlfn.CONCAT(Constants!$N$5,TEXT(DATE(YEAR(H38)-(($I38/12)-1),MONTH(H38),DAY(H38)),"dd/mm/yyyy"),", ",Constants!$O$5,TEXT(DATE(YEAR(H38)-(($I38/12)-2),MONTH(H38),DAY(H38)),"dd/mm/yyyy"),", ",Constants!$P$5,TEXT(DATE(YEAR(H38)-(($I38/12)-3),MONTH(H38),DAY(H38)),"dd/mm/yyyy"),", ",Constants!$Q$5,TEXT(DATE(YEAR(H38)-(($I38/12)-4),MONTH(H38),DAY(H38)),"dd/mm/yyyy"),", ",Constants!$R$5,TEXT($H38,"dd/mm/yyyy")),IF(($I38/12)=3,_xlfn.CONCAT(Constants!$N$4,TEXT(DATE(YEAR(H38)-(($I38/12)-1),MONTH(H38),DAY(H38)),"dd/mm/yyyy"),", ",Constants!$O$4,TEXT(DATE(YEAR(H38)-(($I38/12)-2),MONTH(H38),DAY(H38)),"dd/mm/yyyy"),", ",Constants!$P$4,TEXT($H38,"dd/mm/yyyy")),IF(($I38/12)=2,_xlfn.CONCAT(Constants!$N$3,TEXT(DATE(YEAR(H38)-(($I38/12)-1),MONTH(H38),DAY(H38)),"dd/mm/yyyy"),", ",Constants!$O$3,TEXT($H38,"dd/mm/yyyy")),IF(($I38/12)=1,_xlfn.CONCAT(Constants!$N$2,TEXT($H38,"dd/mm/yyyy")),"Update Constants"))))))),"")</f>
        <v>5% to 31/01/2026, 5% to 31/01/2027, 4% to 31/01/2028, 3% to 31/01/2029, 2% to 31/01/2030</v>
      </c>
      <c r="BC38" s="147">
        <f>_xlfn.IFNA(VALUE(INDEX(Producer!$K:$K,MATCH($D38,Producer!$A:$A,0))),"")</f>
        <v>0</v>
      </c>
      <c r="BD38" s="147" t="str">
        <f>_xlfn.IFNA(INDEX(Producer!$I:$I,MATCH($D38,Producer!$A:$A,0)),"")</f>
        <v>No</v>
      </c>
      <c r="BE38" s="147" t="str">
        <f t="shared" si="8"/>
        <v>Yes</v>
      </c>
      <c r="BF38" s="147"/>
      <c r="BG38" s="147"/>
      <c r="BH38" s="151">
        <f>_xlfn.IFNA(INDEX(Constants!$B:$B,MATCH(BC38,Constants!A:A,0)),"")</f>
        <v>0</v>
      </c>
      <c r="BI38" s="147">
        <f>IF(LEFT(B38,15)="Limited Company",Constants!$D$16,IFERROR(_xlfn.IFNA(IF(C38="Residential",IF(BK38&lt;75,INDEX(Constants!$B:$B,MATCH(VALUE(60)/100,Constants!$A:$A,0)),INDEX(Constants!$B:$B,MATCH(VALUE(BK38)/100,Constants!$A:$A,0))),IF(BK38&lt;60,INDEX(Constants!$C:$C,MATCH(VALUE(60)/100,Constants!$A:$A,0)),INDEX(Constants!$C:$C,MATCH(VALUE(BK38)/100,Constants!$A:$A,0)))),""),""))</f>
        <v>1000000</v>
      </c>
      <c r="BJ38" s="147">
        <f t="shared" si="9"/>
        <v>0</v>
      </c>
      <c r="BK38" s="147">
        <f>_xlfn.IFNA(VALUE(INDEX(Producer!$E:$E,MATCH($D38,Producer!$A:$A,0)))*100,"")</f>
        <v>60</v>
      </c>
      <c r="BL38" s="146" t="str">
        <f>_xlfn.IFNA(IF(IFERROR(FIND("Part &amp; Part",B38),-10)&gt;0,"PP",IF(OR(LEFT(B38,25)="Residential Interest Only",INDEX(Producer!$P:$P,MATCH($D38,Producer!$A:$A,0))="IO",INDEX(Producer!$P:$P,MATCH($D38,Producer!$A:$A,0))="Retirement Interest Only"),"IO",IF($C38="BuyToLet","CI, IO","CI"))),"")</f>
        <v>CI, IO</v>
      </c>
      <c r="BM38" s="152">
        <f>_xlfn.IFNA(IF(BL38="IO",100%,IF(AND(INDEX(Producer!$P:$P,MATCH($D38,Producer!$A:$A,0))="Residential Interest Only Part &amp; Part",BK38=75),80%,IF(C38="BuyToLet",100%,IF(BL38="Interest Only",100%,IF(AND(INDEX(Producer!$P:$P,MATCH($D38,Producer!$A:$A,0))="Residential Interest Only Part &amp; Part",BK38=60),100%,""))))),"")</f>
        <v>1</v>
      </c>
      <c r="BN38" s="218">
        <f>_xlfn.IFNA(IF(VALUE(INDEX(Producer!$H:$H,MATCH($D38,Producer!$A:$A,0)))=0,"",VALUE(INDEX(Producer!$H:$H,MATCH($D38,Producer!$A:$A,0)))),"")</f>
        <v>999</v>
      </c>
      <c r="BO38" s="153"/>
      <c r="BP38" s="153"/>
      <c r="BQ38" s="219">
        <f t="shared" si="10"/>
        <v>35</v>
      </c>
      <c r="BR38" s="146"/>
      <c r="BS38" s="146"/>
      <c r="BT38" s="146"/>
      <c r="BU38" s="146"/>
      <c r="BV38" s="219">
        <f t="shared" si="11"/>
        <v>199</v>
      </c>
      <c r="BW38" s="146"/>
      <c r="BX38" s="146"/>
      <c r="BY38" s="146" t="str">
        <f t="shared" si="12"/>
        <v>No</v>
      </c>
      <c r="BZ38" s="146" t="str">
        <f t="shared" si="13"/>
        <v>No</v>
      </c>
      <c r="CA38" s="146" t="str">
        <f t="shared" si="14"/>
        <v>No</v>
      </c>
      <c r="CB38" s="146" t="str">
        <f t="shared" si="15"/>
        <v>No</v>
      </c>
      <c r="CC38" s="146" t="str">
        <f>_xlfn.IFNA(IF(INDEX(Producer!$P:$P,MATCH($D38,Producer!$A:$A,0))="Help to Buy","Only available","No"),"")</f>
        <v>No</v>
      </c>
      <c r="CD38" s="146" t="str">
        <f>_xlfn.IFNA(IF(INDEX(Producer!$P:$P,MATCH($D38,Producer!$A:$A,0))="Shared Ownership","Only available","No"),"")</f>
        <v>No</v>
      </c>
      <c r="CE38" s="146" t="str">
        <f>_xlfn.IFNA(IF(INDEX(Producer!$P:$P,MATCH($D38,Producer!$A:$A,0))="Right to Buy","Only available","No"),"")</f>
        <v>No</v>
      </c>
      <c r="CF38" s="146" t="str">
        <f t="shared" si="16"/>
        <v>No</v>
      </c>
      <c r="CG38" s="146" t="str">
        <f>_xlfn.IFNA(IF(INDEX(Producer!$P:$P,MATCH($D38,Producer!$A:$A,0))="Retirement Interest Only","Only available","No"),"")</f>
        <v>No</v>
      </c>
      <c r="CH38" s="146" t="str">
        <f t="shared" si="17"/>
        <v>No</v>
      </c>
      <c r="CI38" s="146" t="str">
        <f>_xlfn.IFNA(IF(INDEX(Producer!$P:$P,MATCH($D38,Producer!$A:$A,0))="Intermediary Holiday Let","Only available","No"),"")</f>
        <v>No</v>
      </c>
      <c r="CJ38" s="146" t="str">
        <f t="shared" si="18"/>
        <v>No</v>
      </c>
      <c r="CK38" s="146" t="str">
        <f>_xlfn.IFNA(IF(OR(INDEX(Producer!$P:$P,MATCH($D38,Producer!$A:$A,0))="Intermediary Small HMO",INDEX(Producer!$P:$P,MATCH($D38,Producer!$A:$A,0))="Intermediary Large HMO"),"Only available","No"),"")</f>
        <v>No</v>
      </c>
      <c r="CL38" s="146" t="str">
        <f t="shared" si="19"/>
        <v>Also available</v>
      </c>
      <c r="CM38" s="146" t="str">
        <f t="shared" si="20"/>
        <v>No</v>
      </c>
      <c r="CN38" s="146" t="str">
        <f t="shared" si="21"/>
        <v>No</v>
      </c>
      <c r="CO38" s="146" t="str">
        <f t="shared" si="22"/>
        <v>Also available</v>
      </c>
      <c r="CP38" s="146" t="str">
        <f t="shared" si="23"/>
        <v>No</v>
      </c>
      <c r="CQ38" s="146" t="str">
        <f t="shared" si="24"/>
        <v>No</v>
      </c>
      <c r="CR38" s="146" t="str">
        <f t="shared" si="25"/>
        <v>Also available</v>
      </c>
      <c r="CS38" s="146" t="str">
        <f t="shared" si="26"/>
        <v>Only available</v>
      </c>
      <c r="CT38" s="146" t="str">
        <f t="shared" si="27"/>
        <v>No</v>
      </c>
      <c r="CU38" s="146"/>
    </row>
    <row r="39" spans="1:99" ht="16.399999999999999" customHeight="1" x14ac:dyDescent="0.35">
      <c r="A39" s="145" t="str">
        <f t="shared" si="0"/>
        <v>Leeds Building Society</v>
      </c>
      <c r="B39" s="145" t="str">
        <f>_xlfn.IFNA(_xlfn.CONCAT(INDEX(Producer!$P:$P,MATCH($D39,Producer!$A:$A,0))," ",IF(INDEX(Producer!$N:$N,MATCH($D39,Producer!$A:$A,0))="Yes","Green ",""),IF(AND(INDEX(Producer!$L:$L,MATCH($D39,Producer!$A:$A,0))="No",INDEX(Producer!$C:$C,MATCH($D39,Producer!$A:$A,0))="Fixed"),"Flexit ",""),INDEX(Producer!$B:$B,MATCH($D39,Producer!$A:$A,0))," Year ",INDEX(Producer!$C:$C,MATCH($D39,Producer!$A:$A,0))," ",VALUE(INDEX(Producer!$E:$E,MATCH($D39,Producer!$A:$A,0)))*100,"% LTV",IF(INDEX(Producer!$N:$N,MATCH($D39,Producer!$A:$A,0))="Yes"," (EPC A-C)","")," - ",IF(INDEX(Producer!$D:$D,MATCH($D39,Producer!$A:$A,0))="DLY","Daily","Annual")),"")</f>
        <v>BTL 5 Year Fixed 60% LTV - Daily</v>
      </c>
      <c r="C39" s="146" t="str">
        <f>_xlfn.IFNA(INDEX(Producer!$Q:$Q,MATCH($D39,Producer!$A:$A,0)),"")</f>
        <v>BuyToLet</v>
      </c>
      <c r="D39" s="146">
        <f>IFERROR(VALUE(MID(Producer!$R$2,IF($D38="",1/0,FIND(_xlfn.CONCAT($D37,$D38),Producer!$R$2)+10),5)),"")</f>
        <v>54296</v>
      </c>
      <c r="E39" s="146" t="str">
        <f t="shared" si="1"/>
        <v>Fixed</v>
      </c>
      <c r="F39" s="146"/>
      <c r="G39" s="147">
        <f>_xlfn.IFNA(VALUE(INDEX(Producer!$F:$F,MATCH($D39,Producer!$A:$A,0)))*100,"")</f>
        <v>4.33</v>
      </c>
      <c r="H39" s="216">
        <f>_xlfn.IFNA(IFERROR(DATEVALUE(INDEX(Producer!$M:$M,MATCH($D39,Producer!$A:$A,0))),(INDEX(Producer!$M:$M,MATCH($D39,Producer!$A:$A,0)))),"")</f>
        <v>47514</v>
      </c>
      <c r="I39" s="217">
        <f>_xlfn.IFNA(VALUE(INDEX(Producer!$B:$B,MATCH($D39,Producer!$A:$A,0)))*12,"")</f>
        <v>60</v>
      </c>
      <c r="J39" s="146" t="str">
        <f>_xlfn.IFNA(IF(C39="Residential",IF(VALUE(INDEX(Producer!$B:$B,MATCH($D39,Producer!$A:$A,0)))&lt;5,Constants!$C$10,""),IF(VALUE(INDEX(Producer!$B:$B,MATCH($D39,Producer!$A:$A,0)))&lt;5,Constants!$C$11,"")),"")</f>
        <v/>
      </c>
      <c r="K39" s="216" t="str">
        <f>_xlfn.IFNA(IF(($I39)&lt;60,DATE(YEAR(H39)+(5-VALUE(INDEX(Producer!$B:$B,MATCH($D39,Producer!$A:$A,0)))),MONTH(H39),DAY(H39)),""),"")</f>
        <v/>
      </c>
      <c r="L39" s="153" t="str">
        <f t="shared" si="2"/>
        <v/>
      </c>
      <c r="M39" s="146"/>
      <c r="N39" s="148"/>
      <c r="O39" s="148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>
        <f>IF(D39="","",IF(C39="Residential",Constants!$B$10,Constants!$B$11))</f>
        <v>8.5399999999999991</v>
      </c>
      <c r="AL39" s="146" t="str">
        <f t="shared" si="3"/>
        <v>BVR</v>
      </c>
      <c r="AM39" s="206" t="str">
        <f t="shared" si="4"/>
        <v/>
      </c>
      <c r="AN39" s="146">
        <f t="shared" si="5"/>
        <v>10</v>
      </c>
      <c r="AO39" s="149" t="str">
        <f t="shared" si="6"/>
        <v>Remortgage</v>
      </c>
      <c r="AP39" s="150" t="str">
        <f t="shared" si="7"/>
        <v>ProductTransfer</v>
      </c>
      <c r="AQ39" s="146">
        <f>IFERROR(_xlfn.IFNA(IF($BA39="No",0,IF(INDEX(Constants!B:B,MATCH(($I39/12),Constants!$A:$A,0))=0,0,INDEX(Constants!B:B,MATCH(($I39/12),Constants!$A:$A,0)))),0),"")</f>
        <v>5</v>
      </c>
      <c r="AR39" s="146">
        <f>IFERROR(_xlfn.IFNA(IF($BA39="No",0,IF(INDEX(Constants!C:C,MATCH(($I39/12),Constants!$A:$A,0))=0,0,INDEX(Constants!C:C,MATCH(($I39/12),Constants!$A:$A,0)))),0),"")</f>
        <v>5</v>
      </c>
      <c r="AS39" s="146">
        <f>IFERROR(_xlfn.IFNA(IF($BA39="No",0,IF(INDEX(Constants!D:D,MATCH(($I39/12),Constants!$A:$A,0))=0,0,INDEX(Constants!D:D,MATCH(($I39/12),Constants!$A:$A,0)))),0),"")</f>
        <v>4</v>
      </c>
      <c r="AT39" s="146">
        <f>IFERROR(_xlfn.IFNA(IF($BA39="No",0,IF(INDEX(Constants!E:E,MATCH(($I39/12),Constants!$A:$A,0))=0,0,INDEX(Constants!E:E,MATCH(($I39/12),Constants!$A:$A,0)))),0),"")</f>
        <v>3</v>
      </c>
      <c r="AU39" s="146">
        <f>IFERROR(_xlfn.IFNA(IF($BA39="No",0,IF(INDEX(Constants!F:F,MATCH(($I39/12),Constants!$A:$A,0))=0,0,INDEX(Constants!F:F,MATCH(($I39/12),Constants!$A:$A,0)))),0),"")</f>
        <v>2</v>
      </c>
      <c r="AV39" s="146">
        <f>IFERROR(_xlfn.IFNA(IF($BA39="No",0,IF(INDEX(Constants!G:G,MATCH(($I39/12),Constants!$A:$A,0))=0,0,INDEX(Constants!G:G,MATCH(($I39/12),Constants!$A:$A,0)))),0),"")</f>
        <v>0</v>
      </c>
      <c r="AW39" s="146">
        <f>IFERROR(_xlfn.IFNA(IF($BA39="No",0,IF(INDEX(Constants!H:H,MATCH(($I39/12),Constants!$A:$A,0))=0,0,INDEX(Constants!H:H,MATCH(($I39/12),Constants!$A:$A,0)))),0),"")</f>
        <v>0</v>
      </c>
      <c r="AX39" s="146">
        <f>IFERROR(_xlfn.IFNA(IF($BA39="No",0,IF(INDEX(Constants!I:I,MATCH(($I39/12),Constants!$A:$A,0))=0,0,INDEX(Constants!I:I,MATCH(($I39/12),Constants!$A:$A,0)))),0),"")</f>
        <v>0</v>
      </c>
      <c r="AY39" s="146">
        <f>IFERROR(_xlfn.IFNA(IF($BA39="No",0,IF(INDEX(Constants!J:J,MATCH(($I39/12),Constants!$A:$A,0))=0,0,INDEX(Constants!J:J,MATCH(($I39/12),Constants!$A:$A,0)))),0),"")</f>
        <v>0</v>
      </c>
      <c r="AZ39" s="146">
        <f>IFERROR(_xlfn.IFNA(IF($BA39="No",0,IF(INDEX(Constants!K:K,MATCH(($I39/12),Constants!$A:$A,0))=0,0,INDEX(Constants!K:K,MATCH(($I39/12),Constants!$A:$A,0)))),0),"")</f>
        <v>0</v>
      </c>
      <c r="BA39" s="147" t="str">
        <f>_xlfn.IFNA(INDEX(Producer!$L:$L,MATCH($D39,Producer!$A:$A,0)),"")</f>
        <v>Yes</v>
      </c>
      <c r="BB39" s="146" t="str">
        <f>IFERROR(IF(AQ39=0,"",IF(($I39/12)=15,_xlfn.CONCAT(Constants!$N$7,TEXT(DATE(YEAR(H39)-(($I39/12)-3),MONTH(H39),DAY(H39)),"dd/mm/yyyy"),", ",Constants!$P$7,TEXT(DATE(YEAR(H39)-(($I39/12)-8),MONTH(H39),DAY(H39)),"dd/mm/yyyy"),", ",Constants!$T$7,TEXT(DATE(YEAR(H39)-(($I39/12)-11),MONTH(H39),DAY(H39)),"dd/mm/yyyy"),", ",Constants!$V$7,TEXT(DATE(YEAR(H39)-(($I39/12)-13),MONTH(H39),DAY(H39)),"dd/mm/yyyy"),", ",Constants!$W$7,TEXT($H39,"dd/mm/yyyy")),IF(($I39/12)=10,_xlfn.CONCAT(Constants!$N$6,TEXT(DATE(YEAR(H39)-(($I39/12)-2),MONTH(H39),DAY(H39)),"dd/mm/yyyy"),", ",Constants!$P$6,TEXT(DATE(YEAR(H39)-(($I39/12)-6),MONTH(H39),DAY(H39)),"dd/mm/yyyy"),", ",Constants!$T$6,TEXT(DATE(YEAR(H39)-(($I39/12)-8),MONTH(H39),DAY(H39)),"dd/mm/yyyy"),", ",Constants!$V$6,TEXT(DATE(YEAR(H39)-(($I39/12)-9),MONTH(H39),DAY(H39)),"dd/mm/yyyy"),", ",Constants!$W$6,TEXT($H39,"dd/mm/yyyy")),IF(($I39/12)=5,_xlfn.CONCAT(Constants!$N$5,TEXT(DATE(YEAR(H39)-(($I39/12)-1),MONTH(H39),DAY(H39)),"dd/mm/yyyy"),", ",Constants!$O$5,TEXT(DATE(YEAR(H39)-(($I39/12)-2),MONTH(H39),DAY(H39)),"dd/mm/yyyy"),", ",Constants!$P$5,TEXT(DATE(YEAR(H39)-(($I39/12)-3),MONTH(H39),DAY(H39)),"dd/mm/yyyy"),", ",Constants!$Q$5,TEXT(DATE(YEAR(H39)-(($I39/12)-4),MONTH(H39),DAY(H39)),"dd/mm/yyyy"),", ",Constants!$R$5,TEXT($H39,"dd/mm/yyyy")),IF(($I39/12)=3,_xlfn.CONCAT(Constants!$N$4,TEXT(DATE(YEAR(H39)-(($I39/12)-1),MONTH(H39),DAY(H39)),"dd/mm/yyyy"),", ",Constants!$O$4,TEXT(DATE(YEAR(H39)-(($I39/12)-2),MONTH(H39),DAY(H39)),"dd/mm/yyyy"),", ",Constants!$P$4,TEXT($H39,"dd/mm/yyyy")),IF(($I39/12)=2,_xlfn.CONCAT(Constants!$N$3,TEXT(DATE(YEAR(H39)-(($I39/12)-1),MONTH(H39),DAY(H39)),"dd/mm/yyyy"),", ",Constants!$O$3,TEXT($H39,"dd/mm/yyyy")),IF(($I39/12)=1,_xlfn.CONCAT(Constants!$N$2,TEXT($H39,"dd/mm/yyyy")),"Update Constants"))))))),"")</f>
        <v>5% to 31/01/2026, 5% to 31/01/2027, 4% to 31/01/2028, 3% to 31/01/2029, 2% to 31/01/2030</v>
      </c>
      <c r="BC39" s="147">
        <f>_xlfn.IFNA(VALUE(INDEX(Producer!$K:$K,MATCH($D39,Producer!$A:$A,0))),"")</f>
        <v>0</v>
      </c>
      <c r="BD39" s="147" t="str">
        <f>_xlfn.IFNA(INDEX(Producer!$I:$I,MATCH($D39,Producer!$A:$A,0)),"")</f>
        <v>No</v>
      </c>
      <c r="BE39" s="147" t="str">
        <f t="shared" si="8"/>
        <v>Yes</v>
      </c>
      <c r="BF39" s="147"/>
      <c r="BG39" s="147"/>
      <c r="BH39" s="151">
        <f>_xlfn.IFNA(INDEX(Constants!$B:$B,MATCH(BC39,Constants!A:A,0)),"")</f>
        <v>0</v>
      </c>
      <c r="BI39" s="147">
        <f>IF(LEFT(B39,15)="Limited Company",Constants!$D$16,IFERROR(_xlfn.IFNA(IF(C39="Residential",IF(BK39&lt;75,INDEX(Constants!$B:$B,MATCH(VALUE(60)/100,Constants!$A:$A,0)),INDEX(Constants!$B:$B,MATCH(VALUE(BK39)/100,Constants!$A:$A,0))),IF(BK39&lt;60,INDEX(Constants!$C:$C,MATCH(VALUE(60)/100,Constants!$A:$A,0)),INDEX(Constants!$C:$C,MATCH(VALUE(BK39)/100,Constants!$A:$A,0)))),""),""))</f>
        <v>1000000</v>
      </c>
      <c r="BJ39" s="147">
        <f t="shared" si="9"/>
        <v>0</v>
      </c>
      <c r="BK39" s="147">
        <f>_xlfn.IFNA(VALUE(INDEX(Producer!$E:$E,MATCH($D39,Producer!$A:$A,0)))*100,"")</f>
        <v>60</v>
      </c>
      <c r="BL39" s="146" t="str">
        <f>_xlfn.IFNA(IF(IFERROR(FIND("Part &amp; Part",B39),-10)&gt;0,"PP",IF(OR(LEFT(B39,25)="Residential Interest Only",INDEX(Producer!$P:$P,MATCH($D39,Producer!$A:$A,0))="IO",INDEX(Producer!$P:$P,MATCH($D39,Producer!$A:$A,0))="Retirement Interest Only"),"IO",IF($C39="BuyToLet","CI, IO","CI"))),"")</f>
        <v>CI, IO</v>
      </c>
      <c r="BM39" s="152">
        <f>_xlfn.IFNA(IF(BL39="IO",100%,IF(AND(INDEX(Producer!$P:$P,MATCH($D39,Producer!$A:$A,0))="Residential Interest Only Part &amp; Part",BK39=75),80%,IF(C39="BuyToLet",100%,IF(BL39="Interest Only",100%,IF(AND(INDEX(Producer!$P:$P,MATCH($D39,Producer!$A:$A,0))="Residential Interest Only Part &amp; Part",BK39=60),100%,""))))),"")</f>
        <v>1</v>
      </c>
      <c r="BN39" s="218" t="str">
        <f>_xlfn.IFNA(IF(VALUE(INDEX(Producer!$H:$H,MATCH($D39,Producer!$A:$A,0)))=0,"",VALUE(INDEX(Producer!$H:$H,MATCH($D39,Producer!$A:$A,0)))),"")</f>
        <v/>
      </c>
      <c r="BO39" s="153"/>
      <c r="BP39" s="153"/>
      <c r="BQ39" s="219">
        <f t="shared" si="10"/>
        <v>35</v>
      </c>
      <c r="BR39" s="146"/>
      <c r="BS39" s="146"/>
      <c r="BT39" s="146"/>
      <c r="BU39" s="146"/>
      <c r="BV39" s="219">
        <f t="shared" si="11"/>
        <v>199</v>
      </c>
      <c r="BW39" s="146"/>
      <c r="BX39" s="146"/>
      <c r="BY39" s="146" t="str">
        <f t="shared" si="12"/>
        <v>No</v>
      </c>
      <c r="BZ39" s="146" t="str">
        <f t="shared" si="13"/>
        <v>No</v>
      </c>
      <c r="CA39" s="146" t="str">
        <f t="shared" si="14"/>
        <v>No</v>
      </c>
      <c r="CB39" s="146" t="str">
        <f t="shared" si="15"/>
        <v>No</v>
      </c>
      <c r="CC39" s="146" t="str">
        <f>_xlfn.IFNA(IF(INDEX(Producer!$P:$P,MATCH($D39,Producer!$A:$A,0))="Help to Buy","Only available","No"),"")</f>
        <v>No</v>
      </c>
      <c r="CD39" s="146" t="str">
        <f>_xlfn.IFNA(IF(INDEX(Producer!$P:$P,MATCH($D39,Producer!$A:$A,0))="Shared Ownership","Only available","No"),"")</f>
        <v>No</v>
      </c>
      <c r="CE39" s="146" t="str">
        <f>_xlfn.IFNA(IF(INDEX(Producer!$P:$P,MATCH($D39,Producer!$A:$A,0))="Right to Buy","Only available","No"),"")</f>
        <v>No</v>
      </c>
      <c r="CF39" s="146" t="str">
        <f t="shared" si="16"/>
        <v>No</v>
      </c>
      <c r="CG39" s="146" t="str">
        <f>_xlfn.IFNA(IF(INDEX(Producer!$P:$P,MATCH($D39,Producer!$A:$A,0))="Retirement Interest Only","Only available","No"),"")</f>
        <v>No</v>
      </c>
      <c r="CH39" s="146" t="str">
        <f t="shared" si="17"/>
        <v>No</v>
      </c>
      <c r="CI39" s="146" t="str">
        <f>_xlfn.IFNA(IF(INDEX(Producer!$P:$P,MATCH($D39,Producer!$A:$A,0))="Intermediary Holiday Let","Only available","No"),"")</f>
        <v>No</v>
      </c>
      <c r="CJ39" s="146" t="str">
        <f t="shared" si="18"/>
        <v>No</v>
      </c>
      <c r="CK39" s="146" t="str">
        <f>_xlfn.IFNA(IF(OR(INDEX(Producer!$P:$P,MATCH($D39,Producer!$A:$A,0))="Intermediary Small HMO",INDEX(Producer!$P:$P,MATCH($D39,Producer!$A:$A,0))="Intermediary Large HMO"),"Only available","No"),"")</f>
        <v>No</v>
      </c>
      <c r="CL39" s="146" t="str">
        <f t="shared" si="19"/>
        <v>Also available</v>
      </c>
      <c r="CM39" s="146" t="str">
        <f t="shared" si="20"/>
        <v>No</v>
      </c>
      <c r="CN39" s="146" t="str">
        <f t="shared" si="21"/>
        <v>No</v>
      </c>
      <c r="CO39" s="146" t="str">
        <f t="shared" si="22"/>
        <v>Also available</v>
      </c>
      <c r="CP39" s="146" t="str">
        <f t="shared" si="23"/>
        <v>No</v>
      </c>
      <c r="CQ39" s="146" t="str">
        <f t="shared" si="24"/>
        <v>No</v>
      </c>
      <c r="CR39" s="146" t="str">
        <f t="shared" si="25"/>
        <v>Also available</v>
      </c>
      <c r="CS39" s="146" t="str">
        <f t="shared" si="26"/>
        <v>Only available</v>
      </c>
      <c r="CT39" s="146" t="str">
        <f t="shared" si="27"/>
        <v>No</v>
      </c>
      <c r="CU39" s="146"/>
    </row>
    <row r="40" spans="1:99" ht="16.399999999999999" customHeight="1" x14ac:dyDescent="0.35">
      <c r="A40" s="145" t="str">
        <f t="shared" si="0"/>
        <v>Leeds Building Society</v>
      </c>
      <c r="B40" s="145" t="str">
        <f>_xlfn.IFNA(_xlfn.CONCAT(INDEX(Producer!$P:$P,MATCH($D40,Producer!$A:$A,0))," ",IF(INDEX(Producer!$N:$N,MATCH($D40,Producer!$A:$A,0))="Yes","Green ",""),IF(AND(INDEX(Producer!$L:$L,MATCH($D40,Producer!$A:$A,0))="No",INDEX(Producer!$C:$C,MATCH($D40,Producer!$A:$A,0))="Fixed"),"Flexit ",""),INDEX(Producer!$B:$B,MATCH($D40,Producer!$A:$A,0))," Year ",INDEX(Producer!$C:$C,MATCH($D40,Producer!$A:$A,0))," ",VALUE(INDEX(Producer!$E:$E,MATCH($D40,Producer!$A:$A,0)))*100,"% LTV",IF(INDEX(Producer!$N:$N,MATCH($D40,Producer!$A:$A,0))="Yes"," (EPC A-C)","")," - ",IF(INDEX(Producer!$D:$D,MATCH($D40,Producer!$A:$A,0))="DLY","Daily","Annual")),"")</f>
        <v>BTL 5 Year Fixed 75% LTV - Daily</v>
      </c>
      <c r="C40" s="146" t="str">
        <f>_xlfn.IFNA(INDEX(Producer!$Q:$Q,MATCH($D40,Producer!$A:$A,0)),"")</f>
        <v>BuyToLet</v>
      </c>
      <c r="D40" s="146">
        <f>IFERROR(VALUE(MID(Producer!$R$2,IF($D39="",1/0,FIND(_xlfn.CONCAT($D38,$D39),Producer!$R$2)+10),5)),"")</f>
        <v>54292</v>
      </c>
      <c r="E40" s="146" t="str">
        <f t="shared" si="1"/>
        <v>Fixed</v>
      </c>
      <c r="F40" s="146"/>
      <c r="G40" s="147">
        <f>_xlfn.IFNA(VALUE(INDEX(Producer!$F:$F,MATCH($D40,Producer!$A:$A,0)))*100,"")</f>
        <v>5.41</v>
      </c>
      <c r="H40" s="216">
        <f>_xlfn.IFNA(IFERROR(DATEVALUE(INDEX(Producer!$M:$M,MATCH($D40,Producer!$A:$A,0))),(INDEX(Producer!$M:$M,MATCH($D40,Producer!$A:$A,0)))),"")</f>
        <v>47514</v>
      </c>
      <c r="I40" s="217">
        <f>_xlfn.IFNA(VALUE(INDEX(Producer!$B:$B,MATCH($D40,Producer!$A:$A,0)))*12,"")</f>
        <v>60</v>
      </c>
      <c r="J40" s="146" t="str">
        <f>_xlfn.IFNA(IF(C40="Residential",IF(VALUE(INDEX(Producer!$B:$B,MATCH($D40,Producer!$A:$A,0)))&lt;5,Constants!$C$10,""),IF(VALUE(INDEX(Producer!$B:$B,MATCH($D40,Producer!$A:$A,0)))&lt;5,Constants!$C$11,"")),"")</f>
        <v/>
      </c>
      <c r="K40" s="216" t="str">
        <f>_xlfn.IFNA(IF(($I40)&lt;60,DATE(YEAR(H40)+(5-VALUE(INDEX(Producer!$B:$B,MATCH($D40,Producer!$A:$A,0)))),MONTH(H40),DAY(H40)),""),"")</f>
        <v/>
      </c>
      <c r="L40" s="153" t="str">
        <f t="shared" si="2"/>
        <v/>
      </c>
      <c r="M40" s="146"/>
      <c r="N40" s="148"/>
      <c r="O40" s="148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>
        <f>IF(D40="","",IF(C40="Residential",Constants!$B$10,Constants!$B$11))</f>
        <v>8.5399999999999991</v>
      </c>
      <c r="AL40" s="146" t="str">
        <f t="shared" si="3"/>
        <v>BVR</v>
      </c>
      <c r="AM40" s="206" t="str">
        <f t="shared" si="4"/>
        <v/>
      </c>
      <c r="AN40" s="146">
        <f t="shared" si="5"/>
        <v>10</v>
      </c>
      <c r="AO40" s="149" t="str">
        <f t="shared" si="6"/>
        <v>Remortgage</v>
      </c>
      <c r="AP40" s="150" t="str">
        <f t="shared" si="7"/>
        <v>ProductTransfer</v>
      </c>
      <c r="AQ40" s="146">
        <f>IFERROR(_xlfn.IFNA(IF($BA40="No",0,IF(INDEX(Constants!B:B,MATCH(($I40/12),Constants!$A:$A,0))=0,0,INDEX(Constants!B:B,MATCH(($I40/12),Constants!$A:$A,0)))),0),"")</f>
        <v>5</v>
      </c>
      <c r="AR40" s="146">
        <f>IFERROR(_xlfn.IFNA(IF($BA40="No",0,IF(INDEX(Constants!C:C,MATCH(($I40/12),Constants!$A:$A,0))=0,0,INDEX(Constants!C:C,MATCH(($I40/12),Constants!$A:$A,0)))),0),"")</f>
        <v>5</v>
      </c>
      <c r="AS40" s="146">
        <f>IFERROR(_xlfn.IFNA(IF($BA40="No",0,IF(INDEX(Constants!D:D,MATCH(($I40/12),Constants!$A:$A,0))=0,0,INDEX(Constants!D:D,MATCH(($I40/12),Constants!$A:$A,0)))),0),"")</f>
        <v>4</v>
      </c>
      <c r="AT40" s="146">
        <f>IFERROR(_xlfn.IFNA(IF($BA40="No",0,IF(INDEX(Constants!E:E,MATCH(($I40/12),Constants!$A:$A,0))=0,0,INDEX(Constants!E:E,MATCH(($I40/12),Constants!$A:$A,0)))),0),"")</f>
        <v>3</v>
      </c>
      <c r="AU40" s="146">
        <f>IFERROR(_xlfn.IFNA(IF($BA40="No",0,IF(INDEX(Constants!F:F,MATCH(($I40/12),Constants!$A:$A,0))=0,0,INDEX(Constants!F:F,MATCH(($I40/12),Constants!$A:$A,0)))),0),"")</f>
        <v>2</v>
      </c>
      <c r="AV40" s="146">
        <f>IFERROR(_xlfn.IFNA(IF($BA40="No",0,IF(INDEX(Constants!G:G,MATCH(($I40/12),Constants!$A:$A,0))=0,0,INDEX(Constants!G:G,MATCH(($I40/12),Constants!$A:$A,0)))),0),"")</f>
        <v>0</v>
      </c>
      <c r="AW40" s="146">
        <f>IFERROR(_xlfn.IFNA(IF($BA40="No",0,IF(INDEX(Constants!H:H,MATCH(($I40/12),Constants!$A:$A,0))=0,0,INDEX(Constants!H:H,MATCH(($I40/12),Constants!$A:$A,0)))),0),"")</f>
        <v>0</v>
      </c>
      <c r="AX40" s="146">
        <f>IFERROR(_xlfn.IFNA(IF($BA40="No",0,IF(INDEX(Constants!I:I,MATCH(($I40/12),Constants!$A:$A,0))=0,0,INDEX(Constants!I:I,MATCH(($I40/12),Constants!$A:$A,0)))),0),"")</f>
        <v>0</v>
      </c>
      <c r="AY40" s="146">
        <f>IFERROR(_xlfn.IFNA(IF($BA40="No",0,IF(INDEX(Constants!J:J,MATCH(($I40/12),Constants!$A:$A,0))=0,0,INDEX(Constants!J:J,MATCH(($I40/12),Constants!$A:$A,0)))),0),"")</f>
        <v>0</v>
      </c>
      <c r="AZ40" s="146">
        <f>IFERROR(_xlfn.IFNA(IF($BA40="No",0,IF(INDEX(Constants!K:K,MATCH(($I40/12),Constants!$A:$A,0))=0,0,INDEX(Constants!K:K,MATCH(($I40/12),Constants!$A:$A,0)))),0),"")</f>
        <v>0</v>
      </c>
      <c r="BA40" s="147" t="str">
        <f>_xlfn.IFNA(INDEX(Producer!$L:$L,MATCH($D40,Producer!$A:$A,0)),"")</f>
        <v>Yes</v>
      </c>
      <c r="BB40" s="146" t="str">
        <f>IFERROR(IF(AQ40=0,"",IF(($I40/12)=15,_xlfn.CONCAT(Constants!$N$7,TEXT(DATE(YEAR(H40)-(($I40/12)-3),MONTH(H40),DAY(H40)),"dd/mm/yyyy"),", ",Constants!$P$7,TEXT(DATE(YEAR(H40)-(($I40/12)-8),MONTH(H40),DAY(H40)),"dd/mm/yyyy"),", ",Constants!$T$7,TEXT(DATE(YEAR(H40)-(($I40/12)-11),MONTH(H40),DAY(H40)),"dd/mm/yyyy"),", ",Constants!$V$7,TEXT(DATE(YEAR(H40)-(($I40/12)-13),MONTH(H40),DAY(H40)),"dd/mm/yyyy"),", ",Constants!$W$7,TEXT($H40,"dd/mm/yyyy")),IF(($I40/12)=10,_xlfn.CONCAT(Constants!$N$6,TEXT(DATE(YEAR(H40)-(($I40/12)-2),MONTH(H40),DAY(H40)),"dd/mm/yyyy"),", ",Constants!$P$6,TEXT(DATE(YEAR(H40)-(($I40/12)-6),MONTH(H40),DAY(H40)),"dd/mm/yyyy"),", ",Constants!$T$6,TEXT(DATE(YEAR(H40)-(($I40/12)-8),MONTH(H40),DAY(H40)),"dd/mm/yyyy"),", ",Constants!$V$6,TEXT(DATE(YEAR(H40)-(($I40/12)-9),MONTH(H40),DAY(H40)),"dd/mm/yyyy"),", ",Constants!$W$6,TEXT($H40,"dd/mm/yyyy")),IF(($I40/12)=5,_xlfn.CONCAT(Constants!$N$5,TEXT(DATE(YEAR(H40)-(($I40/12)-1),MONTH(H40),DAY(H40)),"dd/mm/yyyy"),", ",Constants!$O$5,TEXT(DATE(YEAR(H40)-(($I40/12)-2),MONTH(H40),DAY(H40)),"dd/mm/yyyy"),", ",Constants!$P$5,TEXT(DATE(YEAR(H40)-(($I40/12)-3),MONTH(H40),DAY(H40)),"dd/mm/yyyy"),", ",Constants!$Q$5,TEXT(DATE(YEAR(H40)-(($I40/12)-4),MONTH(H40),DAY(H40)),"dd/mm/yyyy"),", ",Constants!$R$5,TEXT($H40,"dd/mm/yyyy")),IF(($I40/12)=3,_xlfn.CONCAT(Constants!$N$4,TEXT(DATE(YEAR(H40)-(($I40/12)-1),MONTH(H40),DAY(H40)),"dd/mm/yyyy"),", ",Constants!$O$4,TEXT(DATE(YEAR(H40)-(($I40/12)-2),MONTH(H40),DAY(H40)),"dd/mm/yyyy"),", ",Constants!$P$4,TEXT($H40,"dd/mm/yyyy")),IF(($I40/12)=2,_xlfn.CONCAT(Constants!$N$3,TEXT(DATE(YEAR(H40)-(($I40/12)-1),MONTH(H40),DAY(H40)),"dd/mm/yyyy"),", ",Constants!$O$3,TEXT($H40,"dd/mm/yyyy")),IF(($I40/12)=1,_xlfn.CONCAT(Constants!$N$2,TEXT($H40,"dd/mm/yyyy")),"Update Constants"))))))),"")</f>
        <v>5% to 31/01/2026, 5% to 31/01/2027, 4% to 31/01/2028, 3% to 31/01/2029, 2% to 31/01/2030</v>
      </c>
      <c r="BC40" s="147">
        <f>_xlfn.IFNA(VALUE(INDEX(Producer!$K:$K,MATCH($D40,Producer!$A:$A,0))),"")</f>
        <v>0</v>
      </c>
      <c r="BD40" s="147" t="str">
        <f>_xlfn.IFNA(INDEX(Producer!$I:$I,MATCH($D40,Producer!$A:$A,0)),"")</f>
        <v>No</v>
      </c>
      <c r="BE40" s="147" t="str">
        <f t="shared" si="8"/>
        <v>Yes</v>
      </c>
      <c r="BF40" s="147"/>
      <c r="BG40" s="147"/>
      <c r="BH40" s="151">
        <f>_xlfn.IFNA(INDEX(Constants!$B:$B,MATCH(BC40,Constants!A:A,0)),"")</f>
        <v>0</v>
      </c>
      <c r="BI40" s="147">
        <f>IF(LEFT(B40,15)="Limited Company",Constants!$D$16,IFERROR(_xlfn.IFNA(IF(C40="Residential",IF(BK40&lt;75,INDEX(Constants!$B:$B,MATCH(VALUE(60)/100,Constants!$A:$A,0)),INDEX(Constants!$B:$B,MATCH(VALUE(BK40)/100,Constants!$A:$A,0))),IF(BK40&lt;60,INDEX(Constants!$C:$C,MATCH(VALUE(60)/100,Constants!$A:$A,0)),INDEX(Constants!$C:$C,MATCH(VALUE(BK40)/100,Constants!$A:$A,0)))),""),""))</f>
        <v>1000000</v>
      </c>
      <c r="BJ40" s="147">
        <f t="shared" si="9"/>
        <v>0</v>
      </c>
      <c r="BK40" s="147">
        <f>_xlfn.IFNA(VALUE(INDEX(Producer!$E:$E,MATCH($D40,Producer!$A:$A,0)))*100,"")</f>
        <v>75</v>
      </c>
      <c r="BL40" s="146" t="str">
        <f>_xlfn.IFNA(IF(IFERROR(FIND("Part &amp; Part",B40),-10)&gt;0,"PP",IF(OR(LEFT(B40,25)="Residential Interest Only",INDEX(Producer!$P:$P,MATCH($D40,Producer!$A:$A,0))="IO",INDEX(Producer!$P:$P,MATCH($D40,Producer!$A:$A,0))="Retirement Interest Only"),"IO",IF($C40="BuyToLet","CI, IO","CI"))),"")</f>
        <v>CI, IO</v>
      </c>
      <c r="BM40" s="152">
        <f>_xlfn.IFNA(IF(BL40="IO",100%,IF(AND(INDEX(Producer!$P:$P,MATCH($D40,Producer!$A:$A,0))="Residential Interest Only Part &amp; Part",BK40=75),80%,IF(C40="BuyToLet",100%,IF(BL40="Interest Only",100%,IF(AND(INDEX(Producer!$P:$P,MATCH($D40,Producer!$A:$A,0))="Residential Interest Only Part &amp; Part",BK40=60),100%,""))))),"")</f>
        <v>1</v>
      </c>
      <c r="BN40" s="218">
        <f>_xlfn.IFNA(IF(VALUE(INDEX(Producer!$H:$H,MATCH($D40,Producer!$A:$A,0)))=0,"",VALUE(INDEX(Producer!$H:$H,MATCH($D40,Producer!$A:$A,0)))),"")</f>
        <v>999</v>
      </c>
      <c r="BO40" s="153"/>
      <c r="BP40" s="153"/>
      <c r="BQ40" s="219">
        <f t="shared" si="10"/>
        <v>35</v>
      </c>
      <c r="BR40" s="146"/>
      <c r="BS40" s="146"/>
      <c r="BT40" s="146"/>
      <c r="BU40" s="146"/>
      <c r="BV40" s="219">
        <f t="shared" si="11"/>
        <v>199</v>
      </c>
      <c r="BW40" s="146"/>
      <c r="BX40" s="146"/>
      <c r="BY40" s="146" t="str">
        <f t="shared" si="12"/>
        <v>No</v>
      </c>
      <c r="BZ40" s="146" t="str">
        <f t="shared" si="13"/>
        <v>No</v>
      </c>
      <c r="CA40" s="146" t="str">
        <f t="shared" si="14"/>
        <v>No</v>
      </c>
      <c r="CB40" s="146" t="str">
        <f t="shared" si="15"/>
        <v>No</v>
      </c>
      <c r="CC40" s="146" t="str">
        <f>_xlfn.IFNA(IF(INDEX(Producer!$P:$P,MATCH($D40,Producer!$A:$A,0))="Help to Buy","Only available","No"),"")</f>
        <v>No</v>
      </c>
      <c r="CD40" s="146" t="str">
        <f>_xlfn.IFNA(IF(INDEX(Producer!$P:$P,MATCH($D40,Producer!$A:$A,0))="Shared Ownership","Only available","No"),"")</f>
        <v>No</v>
      </c>
      <c r="CE40" s="146" t="str">
        <f>_xlfn.IFNA(IF(INDEX(Producer!$P:$P,MATCH($D40,Producer!$A:$A,0))="Right to Buy","Only available","No"),"")</f>
        <v>No</v>
      </c>
      <c r="CF40" s="146" t="str">
        <f t="shared" si="16"/>
        <v>No</v>
      </c>
      <c r="CG40" s="146" t="str">
        <f>_xlfn.IFNA(IF(INDEX(Producer!$P:$P,MATCH($D40,Producer!$A:$A,0))="Retirement Interest Only","Only available","No"),"")</f>
        <v>No</v>
      </c>
      <c r="CH40" s="146" t="str">
        <f t="shared" si="17"/>
        <v>No</v>
      </c>
      <c r="CI40" s="146" t="str">
        <f>_xlfn.IFNA(IF(INDEX(Producer!$P:$P,MATCH($D40,Producer!$A:$A,0))="Intermediary Holiday Let","Only available","No"),"")</f>
        <v>No</v>
      </c>
      <c r="CJ40" s="146" t="str">
        <f t="shared" si="18"/>
        <v>No</v>
      </c>
      <c r="CK40" s="146" t="str">
        <f>_xlfn.IFNA(IF(OR(INDEX(Producer!$P:$P,MATCH($D40,Producer!$A:$A,0))="Intermediary Small HMO",INDEX(Producer!$P:$P,MATCH($D40,Producer!$A:$A,0))="Intermediary Large HMO"),"Only available","No"),"")</f>
        <v>No</v>
      </c>
      <c r="CL40" s="146" t="str">
        <f t="shared" si="19"/>
        <v>Also available</v>
      </c>
      <c r="CM40" s="146" t="str">
        <f t="shared" si="20"/>
        <v>No</v>
      </c>
      <c r="CN40" s="146" t="str">
        <f t="shared" si="21"/>
        <v>No</v>
      </c>
      <c r="CO40" s="146" t="str">
        <f t="shared" si="22"/>
        <v>Also available</v>
      </c>
      <c r="CP40" s="146" t="str">
        <f t="shared" si="23"/>
        <v>No</v>
      </c>
      <c r="CQ40" s="146" t="str">
        <f t="shared" si="24"/>
        <v>No</v>
      </c>
      <c r="CR40" s="146" t="str">
        <f t="shared" si="25"/>
        <v>Also available</v>
      </c>
      <c r="CS40" s="146" t="str">
        <f t="shared" si="26"/>
        <v>Only available</v>
      </c>
      <c r="CT40" s="146" t="str">
        <f t="shared" si="27"/>
        <v>No</v>
      </c>
      <c r="CU40" s="146"/>
    </row>
    <row r="41" spans="1:99" ht="16.399999999999999" customHeight="1" x14ac:dyDescent="0.35">
      <c r="A41" s="145" t="str">
        <f t="shared" si="0"/>
        <v>Leeds Building Society</v>
      </c>
      <c r="B41" s="145" t="str">
        <f>_xlfn.IFNA(_xlfn.CONCAT(INDEX(Producer!$P:$P,MATCH($D41,Producer!$A:$A,0))," ",IF(INDEX(Producer!$N:$N,MATCH($D41,Producer!$A:$A,0))="Yes","Green ",""),IF(AND(INDEX(Producer!$L:$L,MATCH($D41,Producer!$A:$A,0))="No",INDEX(Producer!$C:$C,MATCH($D41,Producer!$A:$A,0))="Fixed"),"Flexit ",""),INDEX(Producer!$B:$B,MATCH($D41,Producer!$A:$A,0))," Year ",INDEX(Producer!$C:$C,MATCH($D41,Producer!$A:$A,0))," ",VALUE(INDEX(Producer!$E:$E,MATCH($D41,Producer!$A:$A,0)))*100,"% LTV",IF(INDEX(Producer!$N:$N,MATCH($D41,Producer!$A:$A,0))="Yes"," (EPC A-C)","")," - ",IF(INDEX(Producer!$D:$D,MATCH($D41,Producer!$A:$A,0))="DLY","Daily","Annual")),"")</f>
        <v>BTL 5 Year Fixed 75% LTV - Daily</v>
      </c>
      <c r="C41" s="146" t="str">
        <f>_xlfn.IFNA(INDEX(Producer!$Q:$Q,MATCH($D41,Producer!$A:$A,0)),"")</f>
        <v>BuyToLet</v>
      </c>
      <c r="D41" s="146">
        <f>IFERROR(VALUE(MID(Producer!$R$2,IF($D40="",1/0,FIND(_xlfn.CONCAT($D39,$D40),Producer!$R$2)+10),5)),"")</f>
        <v>54285</v>
      </c>
      <c r="E41" s="146" t="str">
        <f t="shared" si="1"/>
        <v>Fixed</v>
      </c>
      <c r="F41" s="146"/>
      <c r="G41" s="147">
        <f>_xlfn.IFNA(VALUE(INDEX(Producer!$F:$F,MATCH($D41,Producer!$A:$A,0)))*100,"")</f>
        <v>5.52</v>
      </c>
      <c r="H41" s="216">
        <f>_xlfn.IFNA(IFERROR(DATEVALUE(INDEX(Producer!$M:$M,MATCH($D41,Producer!$A:$A,0))),(INDEX(Producer!$M:$M,MATCH($D41,Producer!$A:$A,0)))),"")</f>
        <v>47514</v>
      </c>
      <c r="I41" s="217">
        <f>_xlfn.IFNA(VALUE(INDEX(Producer!$B:$B,MATCH($D41,Producer!$A:$A,0)))*12,"")</f>
        <v>60</v>
      </c>
      <c r="J41" s="146" t="str">
        <f>_xlfn.IFNA(IF(C41="Residential",IF(VALUE(INDEX(Producer!$B:$B,MATCH($D41,Producer!$A:$A,0)))&lt;5,Constants!$C$10,""),IF(VALUE(INDEX(Producer!$B:$B,MATCH($D41,Producer!$A:$A,0)))&lt;5,Constants!$C$11,"")),"")</f>
        <v/>
      </c>
      <c r="K41" s="216" t="str">
        <f>_xlfn.IFNA(IF(($I41)&lt;60,DATE(YEAR(H41)+(5-VALUE(INDEX(Producer!$B:$B,MATCH($D41,Producer!$A:$A,0)))),MONTH(H41),DAY(H41)),""),"")</f>
        <v/>
      </c>
      <c r="L41" s="153" t="str">
        <f t="shared" si="2"/>
        <v/>
      </c>
      <c r="M41" s="146"/>
      <c r="N41" s="148"/>
      <c r="O41" s="148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>
        <f>IF(D41="","",IF(C41="Residential",Constants!$B$10,Constants!$B$11))</f>
        <v>8.5399999999999991</v>
      </c>
      <c r="AL41" s="146" t="str">
        <f t="shared" si="3"/>
        <v>BVR</v>
      </c>
      <c r="AM41" s="206" t="str">
        <f t="shared" si="4"/>
        <v/>
      </c>
      <c r="AN41" s="146">
        <f t="shared" si="5"/>
        <v>10</v>
      </c>
      <c r="AO41" s="149" t="str">
        <f t="shared" si="6"/>
        <v>Remortgage</v>
      </c>
      <c r="AP41" s="150" t="str">
        <f t="shared" si="7"/>
        <v>ProductTransfer</v>
      </c>
      <c r="AQ41" s="146">
        <f>IFERROR(_xlfn.IFNA(IF($BA41="No",0,IF(INDEX(Constants!B:B,MATCH(($I41/12),Constants!$A:$A,0))=0,0,INDEX(Constants!B:B,MATCH(($I41/12),Constants!$A:$A,0)))),0),"")</f>
        <v>5</v>
      </c>
      <c r="AR41" s="146">
        <f>IFERROR(_xlfn.IFNA(IF($BA41="No",0,IF(INDEX(Constants!C:C,MATCH(($I41/12),Constants!$A:$A,0))=0,0,INDEX(Constants!C:C,MATCH(($I41/12),Constants!$A:$A,0)))),0),"")</f>
        <v>5</v>
      </c>
      <c r="AS41" s="146">
        <f>IFERROR(_xlfn.IFNA(IF($BA41="No",0,IF(INDEX(Constants!D:D,MATCH(($I41/12),Constants!$A:$A,0))=0,0,INDEX(Constants!D:D,MATCH(($I41/12),Constants!$A:$A,0)))),0),"")</f>
        <v>4</v>
      </c>
      <c r="AT41" s="146">
        <f>IFERROR(_xlfn.IFNA(IF($BA41="No",0,IF(INDEX(Constants!E:E,MATCH(($I41/12),Constants!$A:$A,0))=0,0,INDEX(Constants!E:E,MATCH(($I41/12),Constants!$A:$A,0)))),0),"")</f>
        <v>3</v>
      </c>
      <c r="AU41" s="146">
        <f>IFERROR(_xlfn.IFNA(IF($BA41="No",0,IF(INDEX(Constants!F:F,MATCH(($I41/12),Constants!$A:$A,0))=0,0,INDEX(Constants!F:F,MATCH(($I41/12),Constants!$A:$A,0)))),0),"")</f>
        <v>2</v>
      </c>
      <c r="AV41" s="146">
        <f>IFERROR(_xlfn.IFNA(IF($BA41="No",0,IF(INDEX(Constants!G:G,MATCH(($I41/12),Constants!$A:$A,0))=0,0,INDEX(Constants!G:G,MATCH(($I41/12),Constants!$A:$A,0)))),0),"")</f>
        <v>0</v>
      </c>
      <c r="AW41" s="146">
        <f>IFERROR(_xlfn.IFNA(IF($BA41="No",0,IF(INDEX(Constants!H:H,MATCH(($I41/12),Constants!$A:$A,0))=0,0,INDEX(Constants!H:H,MATCH(($I41/12),Constants!$A:$A,0)))),0),"")</f>
        <v>0</v>
      </c>
      <c r="AX41" s="146">
        <f>IFERROR(_xlfn.IFNA(IF($BA41="No",0,IF(INDEX(Constants!I:I,MATCH(($I41/12),Constants!$A:$A,0))=0,0,INDEX(Constants!I:I,MATCH(($I41/12),Constants!$A:$A,0)))),0),"")</f>
        <v>0</v>
      </c>
      <c r="AY41" s="146">
        <f>IFERROR(_xlfn.IFNA(IF($BA41="No",0,IF(INDEX(Constants!J:J,MATCH(($I41/12),Constants!$A:$A,0))=0,0,INDEX(Constants!J:J,MATCH(($I41/12),Constants!$A:$A,0)))),0),"")</f>
        <v>0</v>
      </c>
      <c r="AZ41" s="146">
        <f>IFERROR(_xlfn.IFNA(IF($BA41="No",0,IF(INDEX(Constants!K:K,MATCH(($I41/12),Constants!$A:$A,0))=0,0,INDEX(Constants!K:K,MATCH(($I41/12),Constants!$A:$A,0)))),0),"")</f>
        <v>0</v>
      </c>
      <c r="BA41" s="147" t="str">
        <f>_xlfn.IFNA(INDEX(Producer!$L:$L,MATCH($D41,Producer!$A:$A,0)),"")</f>
        <v>Yes</v>
      </c>
      <c r="BB41" s="146" t="str">
        <f>IFERROR(IF(AQ41=0,"",IF(($I41/12)=15,_xlfn.CONCAT(Constants!$N$7,TEXT(DATE(YEAR(H41)-(($I41/12)-3),MONTH(H41),DAY(H41)),"dd/mm/yyyy"),", ",Constants!$P$7,TEXT(DATE(YEAR(H41)-(($I41/12)-8),MONTH(H41),DAY(H41)),"dd/mm/yyyy"),", ",Constants!$T$7,TEXT(DATE(YEAR(H41)-(($I41/12)-11),MONTH(H41),DAY(H41)),"dd/mm/yyyy"),", ",Constants!$V$7,TEXT(DATE(YEAR(H41)-(($I41/12)-13),MONTH(H41),DAY(H41)),"dd/mm/yyyy"),", ",Constants!$W$7,TEXT($H41,"dd/mm/yyyy")),IF(($I41/12)=10,_xlfn.CONCAT(Constants!$N$6,TEXT(DATE(YEAR(H41)-(($I41/12)-2),MONTH(H41),DAY(H41)),"dd/mm/yyyy"),", ",Constants!$P$6,TEXT(DATE(YEAR(H41)-(($I41/12)-6),MONTH(H41),DAY(H41)),"dd/mm/yyyy"),", ",Constants!$T$6,TEXT(DATE(YEAR(H41)-(($I41/12)-8),MONTH(H41),DAY(H41)),"dd/mm/yyyy"),", ",Constants!$V$6,TEXT(DATE(YEAR(H41)-(($I41/12)-9),MONTH(H41),DAY(H41)),"dd/mm/yyyy"),", ",Constants!$W$6,TEXT($H41,"dd/mm/yyyy")),IF(($I41/12)=5,_xlfn.CONCAT(Constants!$N$5,TEXT(DATE(YEAR(H41)-(($I41/12)-1),MONTH(H41),DAY(H41)),"dd/mm/yyyy"),", ",Constants!$O$5,TEXT(DATE(YEAR(H41)-(($I41/12)-2),MONTH(H41),DAY(H41)),"dd/mm/yyyy"),", ",Constants!$P$5,TEXT(DATE(YEAR(H41)-(($I41/12)-3),MONTH(H41),DAY(H41)),"dd/mm/yyyy"),", ",Constants!$Q$5,TEXT(DATE(YEAR(H41)-(($I41/12)-4),MONTH(H41),DAY(H41)),"dd/mm/yyyy"),", ",Constants!$R$5,TEXT($H41,"dd/mm/yyyy")),IF(($I41/12)=3,_xlfn.CONCAT(Constants!$N$4,TEXT(DATE(YEAR(H41)-(($I41/12)-1),MONTH(H41),DAY(H41)),"dd/mm/yyyy"),", ",Constants!$O$4,TEXT(DATE(YEAR(H41)-(($I41/12)-2),MONTH(H41),DAY(H41)),"dd/mm/yyyy"),", ",Constants!$P$4,TEXT($H41,"dd/mm/yyyy")),IF(($I41/12)=2,_xlfn.CONCAT(Constants!$N$3,TEXT(DATE(YEAR(H41)-(($I41/12)-1),MONTH(H41),DAY(H41)),"dd/mm/yyyy"),", ",Constants!$O$3,TEXT($H41,"dd/mm/yyyy")),IF(($I41/12)=1,_xlfn.CONCAT(Constants!$N$2,TEXT($H41,"dd/mm/yyyy")),"Update Constants"))))))),"")</f>
        <v>5% to 31/01/2026, 5% to 31/01/2027, 4% to 31/01/2028, 3% to 31/01/2029, 2% to 31/01/2030</v>
      </c>
      <c r="BC41" s="147">
        <f>_xlfn.IFNA(VALUE(INDEX(Producer!$K:$K,MATCH($D41,Producer!$A:$A,0))),"")</f>
        <v>0</v>
      </c>
      <c r="BD41" s="147" t="str">
        <f>_xlfn.IFNA(INDEX(Producer!$I:$I,MATCH($D41,Producer!$A:$A,0)),"")</f>
        <v>No</v>
      </c>
      <c r="BE41" s="147" t="str">
        <f t="shared" si="8"/>
        <v>Yes</v>
      </c>
      <c r="BF41" s="147"/>
      <c r="BG41" s="147"/>
      <c r="BH41" s="151">
        <f>_xlfn.IFNA(INDEX(Constants!$B:$B,MATCH(BC41,Constants!A:A,0)),"")</f>
        <v>0</v>
      </c>
      <c r="BI41" s="147">
        <f>IF(LEFT(B41,15)="Limited Company",Constants!$D$16,IFERROR(_xlfn.IFNA(IF(C41="Residential",IF(BK41&lt;75,INDEX(Constants!$B:$B,MATCH(VALUE(60)/100,Constants!$A:$A,0)),INDEX(Constants!$B:$B,MATCH(VALUE(BK41)/100,Constants!$A:$A,0))),IF(BK41&lt;60,INDEX(Constants!$C:$C,MATCH(VALUE(60)/100,Constants!$A:$A,0)),INDEX(Constants!$C:$C,MATCH(VALUE(BK41)/100,Constants!$A:$A,0)))),""),""))</f>
        <v>1000000</v>
      </c>
      <c r="BJ41" s="147">
        <f t="shared" si="9"/>
        <v>0</v>
      </c>
      <c r="BK41" s="147">
        <f>_xlfn.IFNA(VALUE(INDEX(Producer!$E:$E,MATCH($D41,Producer!$A:$A,0)))*100,"")</f>
        <v>75</v>
      </c>
      <c r="BL41" s="146" t="str">
        <f>_xlfn.IFNA(IF(IFERROR(FIND("Part &amp; Part",B41),-10)&gt;0,"PP",IF(OR(LEFT(B41,25)="Residential Interest Only",INDEX(Producer!$P:$P,MATCH($D41,Producer!$A:$A,0))="IO",INDEX(Producer!$P:$P,MATCH($D41,Producer!$A:$A,0))="Retirement Interest Only"),"IO",IF($C41="BuyToLet","CI, IO","CI"))),"")</f>
        <v>CI, IO</v>
      </c>
      <c r="BM41" s="152">
        <f>_xlfn.IFNA(IF(BL41="IO",100%,IF(AND(INDEX(Producer!$P:$P,MATCH($D41,Producer!$A:$A,0))="Residential Interest Only Part &amp; Part",BK41=75),80%,IF(C41="BuyToLet",100%,IF(BL41="Interest Only",100%,IF(AND(INDEX(Producer!$P:$P,MATCH($D41,Producer!$A:$A,0))="Residential Interest Only Part &amp; Part",BK41=60),100%,""))))),"")</f>
        <v>1</v>
      </c>
      <c r="BN41" s="218" t="str">
        <f>_xlfn.IFNA(IF(VALUE(INDEX(Producer!$H:$H,MATCH($D41,Producer!$A:$A,0)))=0,"",VALUE(INDEX(Producer!$H:$H,MATCH($D41,Producer!$A:$A,0)))),"")</f>
        <v/>
      </c>
      <c r="BO41" s="153"/>
      <c r="BP41" s="153"/>
      <c r="BQ41" s="219">
        <f t="shared" si="10"/>
        <v>35</v>
      </c>
      <c r="BR41" s="146"/>
      <c r="BS41" s="146"/>
      <c r="BT41" s="146"/>
      <c r="BU41" s="146"/>
      <c r="BV41" s="219">
        <f t="shared" si="11"/>
        <v>199</v>
      </c>
      <c r="BW41" s="146"/>
      <c r="BX41" s="146"/>
      <c r="BY41" s="146" t="str">
        <f t="shared" si="12"/>
        <v>No</v>
      </c>
      <c r="BZ41" s="146" t="str">
        <f t="shared" si="13"/>
        <v>No</v>
      </c>
      <c r="CA41" s="146" t="str">
        <f t="shared" si="14"/>
        <v>No</v>
      </c>
      <c r="CB41" s="146" t="str">
        <f t="shared" si="15"/>
        <v>No</v>
      </c>
      <c r="CC41" s="146" t="str">
        <f>_xlfn.IFNA(IF(INDEX(Producer!$P:$P,MATCH($D41,Producer!$A:$A,0))="Help to Buy","Only available","No"),"")</f>
        <v>No</v>
      </c>
      <c r="CD41" s="146" t="str">
        <f>_xlfn.IFNA(IF(INDEX(Producer!$P:$P,MATCH($D41,Producer!$A:$A,0))="Shared Ownership","Only available","No"),"")</f>
        <v>No</v>
      </c>
      <c r="CE41" s="146" t="str">
        <f>_xlfn.IFNA(IF(INDEX(Producer!$P:$P,MATCH($D41,Producer!$A:$A,0))="Right to Buy","Only available","No"),"")</f>
        <v>No</v>
      </c>
      <c r="CF41" s="146" t="str">
        <f t="shared" si="16"/>
        <v>No</v>
      </c>
      <c r="CG41" s="146" t="str">
        <f>_xlfn.IFNA(IF(INDEX(Producer!$P:$P,MATCH($D41,Producer!$A:$A,0))="Retirement Interest Only","Only available","No"),"")</f>
        <v>No</v>
      </c>
      <c r="CH41" s="146" t="str">
        <f t="shared" si="17"/>
        <v>No</v>
      </c>
      <c r="CI41" s="146" t="str">
        <f>_xlfn.IFNA(IF(INDEX(Producer!$P:$P,MATCH($D41,Producer!$A:$A,0))="Intermediary Holiday Let","Only available","No"),"")</f>
        <v>No</v>
      </c>
      <c r="CJ41" s="146" t="str">
        <f t="shared" si="18"/>
        <v>No</v>
      </c>
      <c r="CK41" s="146" t="str">
        <f>_xlfn.IFNA(IF(OR(INDEX(Producer!$P:$P,MATCH($D41,Producer!$A:$A,0))="Intermediary Small HMO",INDEX(Producer!$P:$P,MATCH($D41,Producer!$A:$A,0))="Intermediary Large HMO"),"Only available","No"),"")</f>
        <v>No</v>
      </c>
      <c r="CL41" s="146" t="str">
        <f t="shared" si="19"/>
        <v>Also available</v>
      </c>
      <c r="CM41" s="146" t="str">
        <f t="shared" si="20"/>
        <v>No</v>
      </c>
      <c r="CN41" s="146" t="str">
        <f t="shared" si="21"/>
        <v>No</v>
      </c>
      <c r="CO41" s="146" t="str">
        <f t="shared" si="22"/>
        <v>Also available</v>
      </c>
      <c r="CP41" s="146" t="str">
        <f t="shared" si="23"/>
        <v>No</v>
      </c>
      <c r="CQ41" s="146" t="str">
        <f t="shared" si="24"/>
        <v>No</v>
      </c>
      <c r="CR41" s="146" t="str">
        <f t="shared" si="25"/>
        <v>Also available</v>
      </c>
      <c r="CS41" s="146" t="str">
        <f t="shared" si="26"/>
        <v>Only available</v>
      </c>
      <c r="CT41" s="146" t="str">
        <f t="shared" si="27"/>
        <v>No</v>
      </c>
      <c r="CU41" s="146"/>
    </row>
    <row r="42" spans="1:99" ht="16.399999999999999" customHeight="1" x14ac:dyDescent="0.35">
      <c r="A42" s="145" t="str">
        <f t="shared" si="0"/>
        <v>Leeds Building Society</v>
      </c>
      <c r="B42" s="145" t="str">
        <f>_xlfn.IFNA(_xlfn.CONCAT(INDEX(Producer!$P:$P,MATCH($D42,Producer!$A:$A,0))," ",IF(INDEX(Producer!$N:$N,MATCH($D42,Producer!$A:$A,0))="Yes","Green ",""),IF(AND(INDEX(Producer!$L:$L,MATCH($D42,Producer!$A:$A,0))="No",INDEX(Producer!$C:$C,MATCH($D42,Producer!$A:$A,0))="Fixed"),"Flexit ",""),INDEX(Producer!$B:$B,MATCH($D42,Producer!$A:$A,0))," Year ",INDEX(Producer!$C:$C,MATCH($D42,Producer!$A:$A,0))," ",VALUE(INDEX(Producer!$E:$E,MATCH($D42,Producer!$A:$A,0)))*100,"% LTV",IF(INDEX(Producer!$N:$N,MATCH($D42,Producer!$A:$A,0))="Yes"," (EPC A-C)","")," - ",IF(INDEX(Producer!$D:$D,MATCH($D42,Producer!$A:$A,0))="DLY","Daily","Annual")),"")</f>
        <v>Intermediary Portfolio BTL 2 Year Fixed 60% LTV - Daily</v>
      </c>
      <c r="C42" s="146" t="str">
        <f>_xlfn.IFNA(INDEX(Producer!$Q:$Q,MATCH($D42,Producer!$A:$A,0)),"")</f>
        <v>BuyToLet</v>
      </c>
      <c r="D42" s="146">
        <f>IFERROR(VALUE(MID(Producer!$R$2,IF($D41="",1/0,FIND(_xlfn.CONCAT($D40,$D41),Producer!$R$2)+10),5)),"")</f>
        <v>54363</v>
      </c>
      <c r="E42" s="146" t="str">
        <f t="shared" si="1"/>
        <v>Stepped Fixed</v>
      </c>
      <c r="F42" s="146"/>
      <c r="G42" s="147">
        <f>_xlfn.IFNA(VALUE(INDEX(Producer!$F:$F,MATCH($D42,Producer!$A:$A,0)))*100,"")</f>
        <v>4.41</v>
      </c>
      <c r="H42" s="216">
        <f>_xlfn.IFNA(IFERROR(DATEVALUE(INDEX(Producer!$M:$M,MATCH($D42,Producer!$A:$A,0))),(INDEX(Producer!$M:$M,MATCH($D42,Producer!$A:$A,0)))),"")</f>
        <v>46418</v>
      </c>
      <c r="I42" s="217">
        <f>_xlfn.IFNA(VALUE(INDEX(Producer!$B:$B,MATCH($D42,Producer!$A:$A,0)))*12,"")</f>
        <v>24</v>
      </c>
      <c r="J42" s="146">
        <f>_xlfn.IFNA(IF(C42="Residential",IF(VALUE(INDEX(Producer!$B:$B,MATCH($D42,Producer!$A:$A,0)))&lt;5,Constants!$C$10,""),IF(VALUE(INDEX(Producer!$B:$B,MATCH($D42,Producer!$A:$A,0)))&lt;5,Constants!$C$11,"")),"")</f>
        <v>7.54</v>
      </c>
      <c r="K42" s="216">
        <f>_xlfn.IFNA(IF(($I42)&lt;60,DATE(YEAR(H42)+(5-VALUE(INDEX(Producer!$B:$B,MATCH($D42,Producer!$A:$A,0)))),MONTH(H42),DAY(H42)),""),"")</f>
        <v>47514</v>
      </c>
      <c r="L42" s="153">
        <f t="shared" si="2"/>
        <v>36</v>
      </c>
      <c r="M42" s="146"/>
      <c r="N42" s="148"/>
      <c r="O42" s="148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>
        <f>IF(D42="","",IF(C42="Residential",Constants!$B$10,Constants!$B$11))</f>
        <v>8.5399999999999991</v>
      </c>
      <c r="AL42" s="146" t="str">
        <f t="shared" si="3"/>
        <v>BVR</v>
      </c>
      <c r="AM42" s="206" t="str">
        <f t="shared" si="4"/>
        <v/>
      </c>
      <c r="AN42" s="146">
        <f t="shared" si="5"/>
        <v>10</v>
      </c>
      <c r="AO42" s="149" t="str">
        <f t="shared" si="6"/>
        <v>Remortgage</v>
      </c>
      <c r="AP42" s="150" t="str">
        <f t="shared" si="7"/>
        <v>ProductTransfer</v>
      </c>
      <c r="AQ42" s="146">
        <f>IFERROR(_xlfn.IFNA(IF($BA42="No",0,IF(INDEX(Constants!B:B,MATCH(($I42/12),Constants!$A:$A,0))=0,0,INDEX(Constants!B:B,MATCH(($I42/12),Constants!$A:$A,0)))),0),"")</f>
        <v>2.5</v>
      </c>
      <c r="AR42" s="146">
        <f>IFERROR(_xlfn.IFNA(IF($BA42="No",0,IF(INDEX(Constants!C:C,MATCH(($I42/12),Constants!$A:$A,0))=0,0,INDEX(Constants!C:C,MATCH(($I42/12),Constants!$A:$A,0)))),0),"")</f>
        <v>1.5</v>
      </c>
      <c r="AS42" s="146">
        <f>IFERROR(_xlfn.IFNA(IF($BA42="No",0,IF(INDEX(Constants!D:D,MATCH(($I42/12),Constants!$A:$A,0))=0,0,INDEX(Constants!D:D,MATCH(($I42/12),Constants!$A:$A,0)))),0),"")</f>
        <v>0</v>
      </c>
      <c r="AT42" s="146">
        <f>IFERROR(_xlfn.IFNA(IF($BA42="No",0,IF(INDEX(Constants!E:E,MATCH(($I42/12),Constants!$A:$A,0))=0,0,INDEX(Constants!E:E,MATCH(($I42/12),Constants!$A:$A,0)))),0),"")</f>
        <v>0</v>
      </c>
      <c r="AU42" s="146">
        <f>IFERROR(_xlfn.IFNA(IF($BA42="No",0,IF(INDEX(Constants!F:F,MATCH(($I42/12),Constants!$A:$A,0))=0,0,INDEX(Constants!F:F,MATCH(($I42/12),Constants!$A:$A,0)))),0),"")</f>
        <v>0</v>
      </c>
      <c r="AV42" s="146">
        <f>IFERROR(_xlfn.IFNA(IF($BA42="No",0,IF(INDEX(Constants!G:G,MATCH(($I42/12),Constants!$A:$A,0))=0,0,INDEX(Constants!G:G,MATCH(($I42/12),Constants!$A:$A,0)))),0),"")</f>
        <v>0</v>
      </c>
      <c r="AW42" s="146">
        <f>IFERROR(_xlfn.IFNA(IF($BA42="No",0,IF(INDEX(Constants!H:H,MATCH(($I42/12),Constants!$A:$A,0))=0,0,INDEX(Constants!H:H,MATCH(($I42/12),Constants!$A:$A,0)))),0),"")</f>
        <v>0</v>
      </c>
      <c r="AX42" s="146">
        <f>IFERROR(_xlfn.IFNA(IF($BA42="No",0,IF(INDEX(Constants!I:I,MATCH(($I42/12),Constants!$A:$A,0))=0,0,INDEX(Constants!I:I,MATCH(($I42/12),Constants!$A:$A,0)))),0),"")</f>
        <v>0</v>
      </c>
      <c r="AY42" s="146">
        <f>IFERROR(_xlfn.IFNA(IF($BA42="No",0,IF(INDEX(Constants!J:J,MATCH(($I42/12),Constants!$A:$A,0))=0,0,INDEX(Constants!J:J,MATCH(($I42/12),Constants!$A:$A,0)))),0),"")</f>
        <v>0</v>
      </c>
      <c r="AZ42" s="146">
        <f>IFERROR(_xlfn.IFNA(IF($BA42="No",0,IF(INDEX(Constants!K:K,MATCH(($I42/12),Constants!$A:$A,0))=0,0,INDEX(Constants!K:K,MATCH(($I42/12),Constants!$A:$A,0)))),0),"")</f>
        <v>0</v>
      </c>
      <c r="BA42" s="147" t="str">
        <f>_xlfn.IFNA(INDEX(Producer!$L:$L,MATCH($D42,Producer!$A:$A,0)),"")</f>
        <v>Yes</v>
      </c>
      <c r="BB42" s="146" t="str">
        <f>IFERROR(IF(AQ42=0,"",IF(($I42/12)=15,_xlfn.CONCAT(Constants!$N$7,TEXT(DATE(YEAR(H42)-(($I42/12)-3),MONTH(H42),DAY(H42)),"dd/mm/yyyy"),", ",Constants!$P$7,TEXT(DATE(YEAR(H42)-(($I42/12)-8),MONTH(H42),DAY(H42)),"dd/mm/yyyy"),", ",Constants!$T$7,TEXT(DATE(YEAR(H42)-(($I42/12)-11),MONTH(H42),DAY(H42)),"dd/mm/yyyy"),", ",Constants!$V$7,TEXT(DATE(YEAR(H42)-(($I42/12)-13),MONTH(H42),DAY(H42)),"dd/mm/yyyy"),", ",Constants!$W$7,TEXT($H42,"dd/mm/yyyy")),IF(($I42/12)=10,_xlfn.CONCAT(Constants!$N$6,TEXT(DATE(YEAR(H42)-(($I42/12)-2),MONTH(H42),DAY(H42)),"dd/mm/yyyy"),", ",Constants!$P$6,TEXT(DATE(YEAR(H42)-(($I42/12)-6),MONTH(H42),DAY(H42)),"dd/mm/yyyy"),", ",Constants!$T$6,TEXT(DATE(YEAR(H42)-(($I42/12)-8),MONTH(H42),DAY(H42)),"dd/mm/yyyy"),", ",Constants!$V$6,TEXT(DATE(YEAR(H42)-(($I42/12)-9),MONTH(H42),DAY(H42)),"dd/mm/yyyy"),", ",Constants!$W$6,TEXT($H42,"dd/mm/yyyy")),IF(($I42/12)=5,_xlfn.CONCAT(Constants!$N$5,TEXT(DATE(YEAR(H42)-(($I42/12)-1),MONTH(H42),DAY(H42)),"dd/mm/yyyy"),", ",Constants!$O$5,TEXT(DATE(YEAR(H42)-(($I42/12)-2),MONTH(H42),DAY(H42)),"dd/mm/yyyy"),", ",Constants!$P$5,TEXT(DATE(YEAR(H42)-(($I42/12)-3),MONTH(H42),DAY(H42)),"dd/mm/yyyy"),", ",Constants!$Q$5,TEXT(DATE(YEAR(H42)-(($I42/12)-4),MONTH(H42),DAY(H42)),"dd/mm/yyyy"),", ",Constants!$R$5,TEXT($H42,"dd/mm/yyyy")),IF(($I42/12)=3,_xlfn.CONCAT(Constants!$N$4,TEXT(DATE(YEAR(H42)-(($I42/12)-1),MONTH(H42),DAY(H42)),"dd/mm/yyyy"),", ",Constants!$O$4,TEXT(DATE(YEAR(H42)-(($I42/12)-2),MONTH(H42),DAY(H42)),"dd/mm/yyyy"),", ",Constants!$P$4,TEXT($H42,"dd/mm/yyyy")),IF(($I42/12)=2,_xlfn.CONCAT(Constants!$N$3,TEXT(DATE(YEAR(H42)-(($I42/12)-1),MONTH(H42),DAY(H42)),"dd/mm/yyyy"),", ",Constants!$O$3,TEXT($H42,"dd/mm/yyyy")),IF(($I42/12)=1,_xlfn.CONCAT(Constants!$N$2,TEXT($H42,"dd/mm/yyyy")),"Update Constants"))))))),"")</f>
        <v>2.5% to 31/01/2026, 1.5% to 31/01/2027</v>
      </c>
      <c r="BC42" s="147">
        <f>_xlfn.IFNA(VALUE(INDEX(Producer!$K:$K,MATCH($D42,Producer!$A:$A,0))),"")</f>
        <v>0</v>
      </c>
      <c r="BD42" s="147" t="str">
        <f>_xlfn.IFNA(INDEX(Producer!$I:$I,MATCH($D42,Producer!$A:$A,0)),"")</f>
        <v>No</v>
      </c>
      <c r="BE42" s="147" t="str">
        <f t="shared" si="8"/>
        <v>Yes</v>
      </c>
      <c r="BF42" s="147"/>
      <c r="BG42" s="147"/>
      <c r="BH42" s="151">
        <f>_xlfn.IFNA(INDEX(Constants!$B:$B,MATCH(BC42,Constants!A:A,0)),"")</f>
        <v>0</v>
      </c>
      <c r="BI42" s="147">
        <f>IF(LEFT(B42,15)="Limited Company",Constants!$D$16,IFERROR(_xlfn.IFNA(IF(C42="Residential",IF(BK42&lt;75,INDEX(Constants!$B:$B,MATCH(VALUE(60)/100,Constants!$A:$A,0)),INDEX(Constants!$B:$B,MATCH(VALUE(BK42)/100,Constants!$A:$A,0))),IF(BK42&lt;60,INDEX(Constants!$C:$C,MATCH(VALUE(60)/100,Constants!$A:$A,0)),INDEX(Constants!$C:$C,MATCH(VALUE(BK42)/100,Constants!$A:$A,0)))),""),""))</f>
        <v>1000000</v>
      </c>
      <c r="BJ42" s="147">
        <f t="shared" si="9"/>
        <v>0</v>
      </c>
      <c r="BK42" s="147">
        <f>_xlfn.IFNA(VALUE(INDEX(Producer!$E:$E,MATCH($D42,Producer!$A:$A,0)))*100,"")</f>
        <v>60</v>
      </c>
      <c r="BL42" s="146" t="str">
        <f>_xlfn.IFNA(IF(IFERROR(FIND("Part &amp; Part",B42),-10)&gt;0,"PP",IF(OR(LEFT(B42,25)="Residential Interest Only",INDEX(Producer!$P:$P,MATCH($D42,Producer!$A:$A,0))="IO",INDEX(Producer!$P:$P,MATCH($D42,Producer!$A:$A,0))="Retirement Interest Only"),"IO",IF($C42="BuyToLet","CI, IO","CI"))),"")</f>
        <v>CI, IO</v>
      </c>
      <c r="BM42" s="152">
        <f>_xlfn.IFNA(IF(BL42="IO",100%,IF(AND(INDEX(Producer!$P:$P,MATCH($D42,Producer!$A:$A,0))="Residential Interest Only Part &amp; Part",BK42=75),80%,IF(C42="BuyToLet",100%,IF(BL42="Interest Only",100%,IF(AND(INDEX(Producer!$P:$P,MATCH($D42,Producer!$A:$A,0))="Residential Interest Only Part &amp; Part",BK42=60),100%,""))))),"")</f>
        <v>1</v>
      </c>
      <c r="BN42" s="218">
        <f>_xlfn.IFNA(IF(VALUE(INDEX(Producer!$H:$H,MATCH($D42,Producer!$A:$A,0)))=0,"",VALUE(INDEX(Producer!$H:$H,MATCH($D42,Producer!$A:$A,0)))),"")</f>
        <v>1499</v>
      </c>
      <c r="BO42" s="153"/>
      <c r="BP42" s="153"/>
      <c r="BQ42" s="219">
        <f t="shared" si="10"/>
        <v>35</v>
      </c>
      <c r="BR42" s="146"/>
      <c r="BS42" s="146"/>
      <c r="BT42" s="146"/>
      <c r="BU42" s="146"/>
      <c r="BV42" s="219">
        <f t="shared" si="11"/>
        <v>199</v>
      </c>
      <c r="BW42" s="146"/>
      <c r="BX42" s="146"/>
      <c r="BY42" s="146" t="str">
        <f t="shared" si="12"/>
        <v>No</v>
      </c>
      <c r="BZ42" s="146" t="str">
        <f t="shared" si="13"/>
        <v>No</v>
      </c>
      <c r="CA42" s="146" t="str">
        <f t="shared" si="14"/>
        <v>No</v>
      </c>
      <c r="CB42" s="146" t="str">
        <f t="shared" si="15"/>
        <v>No</v>
      </c>
      <c r="CC42" s="146" t="str">
        <f>_xlfn.IFNA(IF(INDEX(Producer!$P:$P,MATCH($D42,Producer!$A:$A,0))="Help to Buy","Only available","No"),"")</f>
        <v>No</v>
      </c>
      <c r="CD42" s="146" t="str">
        <f>_xlfn.IFNA(IF(INDEX(Producer!$P:$P,MATCH($D42,Producer!$A:$A,0))="Shared Ownership","Only available","No"),"")</f>
        <v>No</v>
      </c>
      <c r="CE42" s="146" t="str">
        <f>_xlfn.IFNA(IF(INDEX(Producer!$P:$P,MATCH($D42,Producer!$A:$A,0))="Right to Buy","Only available","No"),"")</f>
        <v>No</v>
      </c>
      <c r="CF42" s="146" t="str">
        <f t="shared" si="16"/>
        <v>No</v>
      </c>
      <c r="CG42" s="146" t="str">
        <f>_xlfn.IFNA(IF(INDEX(Producer!$P:$P,MATCH($D42,Producer!$A:$A,0))="Retirement Interest Only","Only available","No"),"")</f>
        <v>No</v>
      </c>
      <c r="CH42" s="146" t="str">
        <f t="shared" si="17"/>
        <v>No</v>
      </c>
      <c r="CI42" s="146" t="str">
        <f>_xlfn.IFNA(IF(INDEX(Producer!$P:$P,MATCH($D42,Producer!$A:$A,0))="Intermediary Holiday Let","Only available","No"),"")</f>
        <v>No</v>
      </c>
      <c r="CJ42" s="146" t="str">
        <f t="shared" si="18"/>
        <v>No</v>
      </c>
      <c r="CK42" s="146" t="str">
        <f>_xlfn.IFNA(IF(OR(INDEX(Producer!$P:$P,MATCH($D42,Producer!$A:$A,0))="Intermediary Small HMO",INDEX(Producer!$P:$P,MATCH($D42,Producer!$A:$A,0))="Intermediary Large HMO"),"Only available","No"),"")</f>
        <v>No</v>
      </c>
      <c r="CL42" s="146" t="str">
        <f t="shared" si="19"/>
        <v>Also available</v>
      </c>
      <c r="CM42" s="146" t="str">
        <f t="shared" si="20"/>
        <v>Only available</v>
      </c>
      <c r="CN42" s="146" t="str">
        <f t="shared" si="21"/>
        <v>No</v>
      </c>
      <c r="CO42" s="146" t="str">
        <f t="shared" si="22"/>
        <v>Also available</v>
      </c>
      <c r="CP42" s="146" t="str">
        <f t="shared" si="23"/>
        <v>No</v>
      </c>
      <c r="CQ42" s="146" t="str">
        <f t="shared" si="24"/>
        <v>No</v>
      </c>
      <c r="CR42" s="146" t="str">
        <f t="shared" si="25"/>
        <v>Also available</v>
      </c>
      <c r="CS42" s="146" t="str">
        <f t="shared" si="26"/>
        <v>Only available</v>
      </c>
      <c r="CT42" s="146" t="str">
        <f t="shared" si="27"/>
        <v>No</v>
      </c>
      <c r="CU42" s="146"/>
    </row>
    <row r="43" spans="1:99" ht="16.399999999999999" customHeight="1" x14ac:dyDescent="0.35">
      <c r="A43" s="145" t="str">
        <f t="shared" si="0"/>
        <v>Leeds Building Society</v>
      </c>
      <c r="B43" s="145" t="str">
        <f>_xlfn.IFNA(_xlfn.CONCAT(INDEX(Producer!$P:$P,MATCH($D43,Producer!$A:$A,0))," ",IF(INDEX(Producer!$N:$N,MATCH($D43,Producer!$A:$A,0))="Yes","Green ",""),IF(AND(INDEX(Producer!$L:$L,MATCH($D43,Producer!$A:$A,0))="No",INDEX(Producer!$C:$C,MATCH($D43,Producer!$A:$A,0))="Fixed"),"Flexit ",""),INDEX(Producer!$B:$B,MATCH($D43,Producer!$A:$A,0))," Year ",INDEX(Producer!$C:$C,MATCH($D43,Producer!$A:$A,0))," ",VALUE(INDEX(Producer!$E:$E,MATCH($D43,Producer!$A:$A,0)))*100,"% LTV",IF(INDEX(Producer!$N:$N,MATCH($D43,Producer!$A:$A,0))="Yes"," (EPC A-C)","")," - ",IF(INDEX(Producer!$D:$D,MATCH($D43,Producer!$A:$A,0))="DLY","Daily","Annual")),"")</f>
        <v>Intermediary Portfolio BTL 2 Year Fixed 60% LTV - Daily</v>
      </c>
      <c r="C43" s="146" t="str">
        <f>_xlfn.IFNA(INDEX(Producer!$Q:$Q,MATCH($D43,Producer!$A:$A,0)),"")</f>
        <v>BuyToLet</v>
      </c>
      <c r="D43" s="146">
        <f>IFERROR(VALUE(MID(Producer!$R$2,IF($D42="",1/0,FIND(_xlfn.CONCAT($D41,$D42),Producer!$R$2)+10),5)),"")</f>
        <v>54355</v>
      </c>
      <c r="E43" s="146" t="str">
        <f t="shared" si="1"/>
        <v>Stepped Fixed</v>
      </c>
      <c r="F43" s="146"/>
      <c r="G43" s="147">
        <f>_xlfn.IFNA(VALUE(INDEX(Producer!$F:$F,MATCH($D43,Producer!$A:$A,0)))*100,"")</f>
        <v>4.58</v>
      </c>
      <c r="H43" s="216">
        <f>_xlfn.IFNA(IFERROR(DATEVALUE(INDEX(Producer!$M:$M,MATCH($D43,Producer!$A:$A,0))),(INDEX(Producer!$M:$M,MATCH($D43,Producer!$A:$A,0)))),"")</f>
        <v>46418</v>
      </c>
      <c r="I43" s="217">
        <f>_xlfn.IFNA(VALUE(INDEX(Producer!$B:$B,MATCH($D43,Producer!$A:$A,0)))*12,"")</f>
        <v>24</v>
      </c>
      <c r="J43" s="146">
        <f>_xlfn.IFNA(IF(C43="Residential",IF(VALUE(INDEX(Producer!$B:$B,MATCH($D43,Producer!$A:$A,0)))&lt;5,Constants!$C$10,""),IF(VALUE(INDEX(Producer!$B:$B,MATCH($D43,Producer!$A:$A,0)))&lt;5,Constants!$C$11,"")),"")</f>
        <v>7.54</v>
      </c>
      <c r="K43" s="216">
        <f>_xlfn.IFNA(IF(($I43)&lt;60,DATE(YEAR(H43)+(5-VALUE(INDEX(Producer!$B:$B,MATCH($D43,Producer!$A:$A,0)))),MONTH(H43),DAY(H43)),""),"")</f>
        <v>47514</v>
      </c>
      <c r="L43" s="153">
        <f t="shared" si="2"/>
        <v>36</v>
      </c>
      <c r="M43" s="146"/>
      <c r="N43" s="148"/>
      <c r="O43" s="148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>
        <f>IF(D43="","",IF(C43="Residential",Constants!$B$10,Constants!$B$11))</f>
        <v>8.5399999999999991</v>
      </c>
      <c r="AL43" s="146" t="str">
        <f t="shared" si="3"/>
        <v>BVR</v>
      </c>
      <c r="AM43" s="206" t="str">
        <f t="shared" si="4"/>
        <v/>
      </c>
      <c r="AN43" s="146">
        <f t="shared" si="5"/>
        <v>10</v>
      </c>
      <c r="AO43" s="149" t="str">
        <f t="shared" si="6"/>
        <v>Remortgage</v>
      </c>
      <c r="AP43" s="150" t="str">
        <f t="shared" si="7"/>
        <v>ProductTransfer</v>
      </c>
      <c r="AQ43" s="146">
        <f>IFERROR(_xlfn.IFNA(IF($BA43="No",0,IF(INDEX(Constants!B:B,MATCH(($I43/12),Constants!$A:$A,0))=0,0,INDEX(Constants!B:B,MATCH(($I43/12),Constants!$A:$A,0)))),0),"")</f>
        <v>2.5</v>
      </c>
      <c r="AR43" s="146">
        <f>IFERROR(_xlfn.IFNA(IF($BA43="No",0,IF(INDEX(Constants!C:C,MATCH(($I43/12),Constants!$A:$A,0))=0,0,INDEX(Constants!C:C,MATCH(($I43/12),Constants!$A:$A,0)))),0),"")</f>
        <v>1.5</v>
      </c>
      <c r="AS43" s="146">
        <f>IFERROR(_xlfn.IFNA(IF($BA43="No",0,IF(INDEX(Constants!D:D,MATCH(($I43/12),Constants!$A:$A,0))=0,0,INDEX(Constants!D:D,MATCH(($I43/12),Constants!$A:$A,0)))),0),"")</f>
        <v>0</v>
      </c>
      <c r="AT43" s="146">
        <f>IFERROR(_xlfn.IFNA(IF($BA43="No",0,IF(INDEX(Constants!E:E,MATCH(($I43/12),Constants!$A:$A,0))=0,0,INDEX(Constants!E:E,MATCH(($I43/12),Constants!$A:$A,0)))),0),"")</f>
        <v>0</v>
      </c>
      <c r="AU43" s="146">
        <f>IFERROR(_xlfn.IFNA(IF($BA43="No",0,IF(INDEX(Constants!F:F,MATCH(($I43/12),Constants!$A:$A,0))=0,0,INDEX(Constants!F:F,MATCH(($I43/12),Constants!$A:$A,0)))),0),"")</f>
        <v>0</v>
      </c>
      <c r="AV43" s="146">
        <f>IFERROR(_xlfn.IFNA(IF($BA43="No",0,IF(INDEX(Constants!G:G,MATCH(($I43/12),Constants!$A:$A,0))=0,0,INDEX(Constants!G:G,MATCH(($I43/12),Constants!$A:$A,0)))),0),"")</f>
        <v>0</v>
      </c>
      <c r="AW43" s="146">
        <f>IFERROR(_xlfn.IFNA(IF($BA43="No",0,IF(INDEX(Constants!H:H,MATCH(($I43/12),Constants!$A:$A,0))=0,0,INDEX(Constants!H:H,MATCH(($I43/12),Constants!$A:$A,0)))),0),"")</f>
        <v>0</v>
      </c>
      <c r="AX43" s="146">
        <f>IFERROR(_xlfn.IFNA(IF($BA43="No",0,IF(INDEX(Constants!I:I,MATCH(($I43/12),Constants!$A:$A,0))=0,0,INDEX(Constants!I:I,MATCH(($I43/12),Constants!$A:$A,0)))),0),"")</f>
        <v>0</v>
      </c>
      <c r="AY43" s="146">
        <f>IFERROR(_xlfn.IFNA(IF($BA43="No",0,IF(INDEX(Constants!J:J,MATCH(($I43/12),Constants!$A:$A,0))=0,0,INDEX(Constants!J:J,MATCH(($I43/12),Constants!$A:$A,0)))),0),"")</f>
        <v>0</v>
      </c>
      <c r="AZ43" s="146">
        <f>IFERROR(_xlfn.IFNA(IF($BA43="No",0,IF(INDEX(Constants!K:K,MATCH(($I43/12),Constants!$A:$A,0))=0,0,INDEX(Constants!K:K,MATCH(($I43/12),Constants!$A:$A,0)))),0),"")</f>
        <v>0</v>
      </c>
      <c r="BA43" s="147" t="str">
        <f>_xlfn.IFNA(INDEX(Producer!$L:$L,MATCH($D43,Producer!$A:$A,0)),"")</f>
        <v>Yes</v>
      </c>
      <c r="BB43" s="146" t="str">
        <f>IFERROR(IF(AQ43=0,"",IF(($I43/12)=15,_xlfn.CONCAT(Constants!$N$7,TEXT(DATE(YEAR(H43)-(($I43/12)-3),MONTH(H43),DAY(H43)),"dd/mm/yyyy"),", ",Constants!$P$7,TEXT(DATE(YEAR(H43)-(($I43/12)-8),MONTH(H43),DAY(H43)),"dd/mm/yyyy"),", ",Constants!$T$7,TEXT(DATE(YEAR(H43)-(($I43/12)-11),MONTH(H43),DAY(H43)),"dd/mm/yyyy"),", ",Constants!$V$7,TEXT(DATE(YEAR(H43)-(($I43/12)-13),MONTH(H43),DAY(H43)),"dd/mm/yyyy"),", ",Constants!$W$7,TEXT($H43,"dd/mm/yyyy")),IF(($I43/12)=10,_xlfn.CONCAT(Constants!$N$6,TEXT(DATE(YEAR(H43)-(($I43/12)-2),MONTH(H43),DAY(H43)),"dd/mm/yyyy"),", ",Constants!$P$6,TEXT(DATE(YEAR(H43)-(($I43/12)-6),MONTH(H43),DAY(H43)),"dd/mm/yyyy"),", ",Constants!$T$6,TEXT(DATE(YEAR(H43)-(($I43/12)-8),MONTH(H43),DAY(H43)),"dd/mm/yyyy"),", ",Constants!$V$6,TEXT(DATE(YEAR(H43)-(($I43/12)-9),MONTH(H43),DAY(H43)),"dd/mm/yyyy"),", ",Constants!$W$6,TEXT($H43,"dd/mm/yyyy")),IF(($I43/12)=5,_xlfn.CONCAT(Constants!$N$5,TEXT(DATE(YEAR(H43)-(($I43/12)-1),MONTH(H43),DAY(H43)),"dd/mm/yyyy"),", ",Constants!$O$5,TEXT(DATE(YEAR(H43)-(($I43/12)-2),MONTH(H43),DAY(H43)),"dd/mm/yyyy"),", ",Constants!$P$5,TEXT(DATE(YEAR(H43)-(($I43/12)-3),MONTH(H43),DAY(H43)),"dd/mm/yyyy"),", ",Constants!$Q$5,TEXT(DATE(YEAR(H43)-(($I43/12)-4),MONTH(H43),DAY(H43)),"dd/mm/yyyy"),", ",Constants!$R$5,TEXT($H43,"dd/mm/yyyy")),IF(($I43/12)=3,_xlfn.CONCAT(Constants!$N$4,TEXT(DATE(YEAR(H43)-(($I43/12)-1),MONTH(H43),DAY(H43)),"dd/mm/yyyy"),", ",Constants!$O$4,TEXT(DATE(YEAR(H43)-(($I43/12)-2),MONTH(H43),DAY(H43)),"dd/mm/yyyy"),", ",Constants!$P$4,TEXT($H43,"dd/mm/yyyy")),IF(($I43/12)=2,_xlfn.CONCAT(Constants!$N$3,TEXT(DATE(YEAR(H43)-(($I43/12)-1),MONTH(H43),DAY(H43)),"dd/mm/yyyy"),", ",Constants!$O$3,TEXT($H43,"dd/mm/yyyy")),IF(($I43/12)=1,_xlfn.CONCAT(Constants!$N$2,TEXT($H43,"dd/mm/yyyy")),"Update Constants"))))))),"")</f>
        <v>2.5% to 31/01/2026, 1.5% to 31/01/2027</v>
      </c>
      <c r="BC43" s="147">
        <f>_xlfn.IFNA(VALUE(INDEX(Producer!$K:$K,MATCH($D43,Producer!$A:$A,0))),"")</f>
        <v>0</v>
      </c>
      <c r="BD43" s="147" t="str">
        <f>_xlfn.IFNA(INDEX(Producer!$I:$I,MATCH($D43,Producer!$A:$A,0)),"")</f>
        <v>No</v>
      </c>
      <c r="BE43" s="147" t="str">
        <f t="shared" si="8"/>
        <v>Yes</v>
      </c>
      <c r="BF43" s="147"/>
      <c r="BG43" s="147"/>
      <c r="BH43" s="151">
        <f>_xlfn.IFNA(INDEX(Constants!$B:$B,MATCH(BC43,Constants!A:A,0)),"")</f>
        <v>0</v>
      </c>
      <c r="BI43" s="147">
        <f>IF(LEFT(B43,15)="Limited Company",Constants!$D$16,IFERROR(_xlfn.IFNA(IF(C43="Residential",IF(BK43&lt;75,INDEX(Constants!$B:$B,MATCH(VALUE(60)/100,Constants!$A:$A,0)),INDEX(Constants!$B:$B,MATCH(VALUE(BK43)/100,Constants!$A:$A,0))),IF(BK43&lt;60,INDEX(Constants!$C:$C,MATCH(VALUE(60)/100,Constants!$A:$A,0)),INDEX(Constants!$C:$C,MATCH(VALUE(BK43)/100,Constants!$A:$A,0)))),""),""))</f>
        <v>1000000</v>
      </c>
      <c r="BJ43" s="147">
        <f t="shared" si="9"/>
        <v>0</v>
      </c>
      <c r="BK43" s="147">
        <f>_xlfn.IFNA(VALUE(INDEX(Producer!$E:$E,MATCH($D43,Producer!$A:$A,0)))*100,"")</f>
        <v>60</v>
      </c>
      <c r="BL43" s="146" t="str">
        <f>_xlfn.IFNA(IF(IFERROR(FIND("Part &amp; Part",B43),-10)&gt;0,"PP",IF(OR(LEFT(B43,25)="Residential Interest Only",INDEX(Producer!$P:$P,MATCH($D43,Producer!$A:$A,0))="IO",INDEX(Producer!$P:$P,MATCH($D43,Producer!$A:$A,0))="Retirement Interest Only"),"IO",IF($C43="BuyToLet","CI, IO","CI"))),"")</f>
        <v>CI, IO</v>
      </c>
      <c r="BM43" s="152">
        <f>_xlfn.IFNA(IF(BL43="IO",100%,IF(AND(INDEX(Producer!$P:$P,MATCH($D43,Producer!$A:$A,0))="Residential Interest Only Part &amp; Part",BK43=75),80%,IF(C43="BuyToLet",100%,IF(BL43="Interest Only",100%,IF(AND(INDEX(Producer!$P:$P,MATCH($D43,Producer!$A:$A,0))="Residential Interest Only Part &amp; Part",BK43=60),100%,""))))),"")</f>
        <v>1</v>
      </c>
      <c r="BN43" s="218">
        <f>_xlfn.IFNA(IF(VALUE(INDEX(Producer!$H:$H,MATCH($D43,Producer!$A:$A,0)))=0,"",VALUE(INDEX(Producer!$H:$H,MATCH($D43,Producer!$A:$A,0)))),"")</f>
        <v>999</v>
      </c>
      <c r="BO43" s="153"/>
      <c r="BP43" s="153"/>
      <c r="BQ43" s="219">
        <f t="shared" si="10"/>
        <v>35</v>
      </c>
      <c r="BR43" s="146"/>
      <c r="BS43" s="146"/>
      <c r="BT43" s="146"/>
      <c r="BU43" s="146"/>
      <c r="BV43" s="219">
        <f t="shared" si="11"/>
        <v>199</v>
      </c>
      <c r="BW43" s="146"/>
      <c r="BX43" s="146"/>
      <c r="BY43" s="146" t="str">
        <f t="shared" si="12"/>
        <v>No</v>
      </c>
      <c r="BZ43" s="146" t="str">
        <f t="shared" si="13"/>
        <v>No</v>
      </c>
      <c r="CA43" s="146" t="str">
        <f t="shared" si="14"/>
        <v>No</v>
      </c>
      <c r="CB43" s="146" t="str">
        <f t="shared" si="15"/>
        <v>No</v>
      </c>
      <c r="CC43" s="146" t="str">
        <f>_xlfn.IFNA(IF(INDEX(Producer!$P:$P,MATCH($D43,Producer!$A:$A,0))="Help to Buy","Only available","No"),"")</f>
        <v>No</v>
      </c>
      <c r="CD43" s="146" t="str">
        <f>_xlfn.IFNA(IF(INDEX(Producer!$P:$P,MATCH($D43,Producer!$A:$A,0))="Shared Ownership","Only available","No"),"")</f>
        <v>No</v>
      </c>
      <c r="CE43" s="146" t="str">
        <f>_xlfn.IFNA(IF(INDEX(Producer!$P:$P,MATCH($D43,Producer!$A:$A,0))="Right to Buy","Only available","No"),"")</f>
        <v>No</v>
      </c>
      <c r="CF43" s="146" t="str">
        <f t="shared" si="16"/>
        <v>No</v>
      </c>
      <c r="CG43" s="146" t="str">
        <f>_xlfn.IFNA(IF(INDEX(Producer!$P:$P,MATCH($D43,Producer!$A:$A,0))="Retirement Interest Only","Only available","No"),"")</f>
        <v>No</v>
      </c>
      <c r="CH43" s="146" t="str">
        <f t="shared" si="17"/>
        <v>No</v>
      </c>
      <c r="CI43" s="146" t="str">
        <f>_xlfn.IFNA(IF(INDEX(Producer!$P:$P,MATCH($D43,Producer!$A:$A,0))="Intermediary Holiday Let","Only available","No"),"")</f>
        <v>No</v>
      </c>
      <c r="CJ43" s="146" t="str">
        <f t="shared" si="18"/>
        <v>No</v>
      </c>
      <c r="CK43" s="146" t="str">
        <f>_xlfn.IFNA(IF(OR(INDEX(Producer!$P:$P,MATCH($D43,Producer!$A:$A,0))="Intermediary Small HMO",INDEX(Producer!$P:$P,MATCH($D43,Producer!$A:$A,0))="Intermediary Large HMO"),"Only available","No"),"")</f>
        <v>No</v>
      </c>
      <c r="CL43" s="146" t="str">
        <f t="shared" si="19"/>
        <v>Also available</v>
      </c>
      <c r="CM43" s="146" t="str">
        <f t="shared" si="20"/>
        <v>Only available</v>
      </c>
      <c r="CN43" s="146" t="str">
        <f t="shared" si="21"/>
        <v>No</v>
      </c>
      <c r="CO43" s="146" t="str">
        <f t="shared" si="22"/>
        <v>Also available</v>
      </c>
      <c r="CP43" s="146" t="str">
        <f t="shared" si="23"/>
        <v>No</v>
      </c>
      <c r="CQ43" s="146" t="str">
        <f t="shared" si="24"/>
        <v>No</v>
      </c>
      <c r="CR43" s="146" t="str">
        <f t="shared" si="25"/>
        <v>Also available</v>
      </c>
      <c r="CS43" s="146" t="str">
        <f t="shared" si="26"/>
        <v>Only available</v>
      </c>
      <c r="CT43" s="146" t="str">
        <f t="shared" si="27"/>
        <v>No</v>
      </c>
      <c r="CU43" s="146"/>
    </row>
    <row r="44" spans="1:99" ht="16.399999999999999" customHeight="1" x14ac:dyDescent="0.35">
      <c r="A44" s="145" t="str">
        <f t="shared" si="0"/>
        <v>Leeds Building Society</v>
      </c>
      <c r="B44" s="145" t="str">
        <f>_xlfn.IFNA(_xlfn.CONCAT(INDEX(Producer!$P:$P,MATCH($D44,Producer!$A:$A,0))," ",IF(INDEX(Producer!$N:$N,MATCH($D44,Producer!$A:$A,0))="Yes","Green ",""),IF(AND(INDEX(Producer!$L:$L,MATCH($D44,Producer!$A:$A,0))="No",INDEX(Producer!$C:$C,MATCH($D44,Producer!$A:$A,0))="Fixed"),"Flexit ",""),INDEX(Producer!$B:$B,MATCH($D44,Producer!$A:$A,0))," Year ",INDEX(Producer!$C:$C,MATCH($D44,Producer!$A:$A,0))," ",VALUE(INDEX(Producer!$E:$E,MATCH($D44,Producer!$A:$A,0)))*100,"% LTV",IF(INDEX(Producer!$N:$N,MATCH($D44,Producer!$A:$A,0))="Yes"," (EPC A-C)","")," - ",IF(INDEX(Producer!$D:$D,MATCH($D44,Producer!$A:$A,0))="DLY","Daily","Annual")),"")</f>
        <v>Intermediary Portfolio BTL 2 Year Fixed 60% LTV - Daily</v>
      </c>
      <c r="C44" s="146" t="str">
        <f>_xlfn.IFNA(INDEX(Producer!$Q:$Q,MATCH($D44,Producer!$A:$A,0)),"")</f>
        <v>BuyToLet</v>
      </c>
      <c r="D44" s="146">
        <f>IFERROR(VALUE(MID(Producer!$R$2,IF($D43="",1/0,FIND(_xlfn.CONCAT($D42,$D43),Producer!$R$2)+10),5)),"")</f>
        <v>54362</v>
      </c>
      <c r="E44" s="146" t="str">
        <f t="shared" si="1"/>
        <v>Stepped Fixed</v>
      </c>
      <c r="F44" s="146"/>
      <c r="G44" s="147">
        <f>_xlfn.IFNA(VALUE(INDEX(Producer!$F:$F,MATCH($D44,Producer!$A:$A,0)))*100,"")</f>
        <v>4.8500000000000005</v>
      </c>
      <c r="H44" s="216">
        <f>_xlfn.IFNA(IFERROR(DATEVALUE(INDEX(Producer!$M:$M,MATCH($D44,Producer!$A:$A,0))),(INDEX(Producer!$M:$M,MATCH($D44,Producer!$A:$A,0)))),"")</f>
        <v>46418</v>
      </c>
      <c r="I44" s="217">
        <f>_xlfn.IFNA(VALUE(INDEX(Producer!$B:$B,MATCH($D44,Producer!$A:$A,0)))*12,"")</f>
        <v>24</v>
      </c>
      <c r="J44" s="146">
        <f>_xlfn.IFNA(IF(C44="Residential",IF(VALUE(INDEX(Producer!$B:$B,MATCH($D44,Producer!$A:$A,0)))&lt;5,Constants!$C$10,""),IF(VALUE(INDEX(Producer!$B:$B,MATCH($D44,Producer!$A:$A,0)))&lt;5,Constants!$C$11,"")),"")</f>
        <v>7.54</v>
      </c>
      <c r="K44" s="216">
        <f>_xlfn.IFNA(IF(($I44)&lt;60,DATE(YEAR(H44)+(5-VALUE(INDEX(Producer!$B:$B,MATCH($D44,Producer!$A:$A,0)))),MONTH(H44),DAY(H44)),""),"")</f>
        <v>47514</v>
      </c>
      <c r="L44" s="153">
        <f t="shared" si="2"/>
        <v>36</v>
      </c>
      <c r="M44" s="146"/>
      <c r="N44" s="148"/>
      <c r="O44" s="148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>
        <f>IF(D44="","",IF(C44="Residential",Constants!$B$10,Constants!$B$11))</f>
        <v>8.5399999999999991</v>
      </c>
      <c r="AL44" s="146" t="str">
        <f t="shared" si="3"/>
        <v>BVR</v>
      </c>
      <c r="AM44" s="206" t="str">
        <f t="shared" si="4"/>
        <v/>
      </c>
      <c r="AN44" s="146">
        <f t="shared" si="5"/>
        <v>10</v>
      </c>
      <c r="AO44" s="149" t="str">
        <f t="shared" si="6"/>
        <v>Remortgage</v>
      </c>
      <c r="AP44" s="150" t="str">
        <f t="shared" si="7"/>
        <v>ProductTransfer</v>
      </c>
      <c r="AQ44" s="146">
        <f>IFERROR(_xlfn.IFNA(IF($BA44="No",0,IF(INDEX(Constants!B:B,MATCH(($I44/12),Constants!$A:$A,0))=0,0,INDEX(Constants!B:B,MATCH(($I44/12),Constants!$A:$A,0)))),0),"")</f>
        <v>2.5</v>
      </c>
      <c r="AR44" s="146">
        <f>IFERROR(_xlfn.IFNA(IF($BA44="No",0,IF(INDEX(Constants!C:C,MATCH(($I44/12),Constants!$A:$A,0))=0,0,INDEX(Constants!C:C,MATCH(($I44/12),Constants!$A:$A,0)))),0),"")</f>
        <v>1.5</v>
      </c>
      <c r="AS44" s="146">
        <f>IFERROR(_xlfn.IFNA(IF($BA44="No",0,IF(INDEX(Constants!D:D,MATCH(($I44/12),Constants!$A:$A,0))=0,0,INDEX(Constants!D:D,MATCH(($I44/12),Constants!$A:$A,0)))),0),"")</f>
        <v>0</v>
      </c>
      <c r="AT44" s="146">
        <f>IFERROR(_xlfn.IFNA(IF($BA44="No",0,IF(INDEX(Constants!E:E,MATCH(($I44/12),Constants!$A:$A,0))=0,0,INDEX(Constants!E:E,MATCH(($I44/12),Constants!$A:$A,0)))),0),"")</f>
        <v>0</v>
      </c>
      <c r="AU44" s="146">
        <f>IFERROR(_xlfn.IFNA(IF($BA44="No",0,IF(INDEX(Constants!F:F,MATCH(($I44/12),Constants!$A:$A,0))=0,0,INDEX(Constants!F:F,MATCH(($I44/12),Constants!$A:$A,0)))),0),"")</f>
        <v>0</v>
      </c>
      <c r="AV44" s="146">
        <f>IFERROR(_xlfn.IFNA(IF($BA44="No",0,IF(INDEX(Constants!G:G,MATCH(($I44/12),Constants!$A:$A,0))=0,0,INDEX(Constants!G:G,MATCH(($I44/12),Constants!$A:$A,0)))),0),"")</f>
        <v>0</v>
      </c>
      <c r="AW44" s="146">
        <f>IFERROR(_xlfn.IFNA(IF($BA44="No",0,IF(INDEX(Constants!H:H,MATCH(($I44/12),Constants!$A:$A,0))=0,0,INDEX(Constants!H:H,MATCH(($I44/12),Constants!$A:$A,0)))),0),"")</f>
        <v>0</v>
      </c>
      <c r="AX44" s="146">
        <f>IFERROR(_xlfn.IFNA(IF($BA44="No",0,IF(INDEX(Constants!I:I,MATCH(($I44/12),Constants!$A:$A,0))=0,0,INDEX(Constants!I:I,MATCH(($I44/12),Constants!$A:$A,0)))),0),"")</f>
        <v>0</v>
      </c>
      <c r="AY44" s="146">
        <f>IFERROR(_xlfn.IFNA(IF($BA44="No",0,IF(INDEX(Constants!J:J,MATCH(($I44/12),Constants!$A:$A,0))=0,0,INDEX(Constants!J:J,MATCH(($I44/12),Constants!$A:$A,0)))),0),"")</f>
        <v>0</v>
      </c>
      <c r="AZ44" s="146">
        <f>IFERROR(_xlfn.IFNA(IF($BA44="No",0,IF(INDEX(Constants!K:K,MATCH(($I44/12),Constants!$A:$A,0))=0,0,INDEX(Constants!K:K,MATCH(($I44/12),Constants!$A:$A,0)))),0),"")</f>
        <v>0</v>
      </c>
      <c r="BA44" s="147" t="str">
        <f>_xlfn.IFNA(INDEX(Producer!$L:$L,MATCH($D44,Producer!$A:$A,0)),"")</f>
        <v>Yes</v>
      </c>
      <c r="BB44" s="146" t="str">
        <f>IFERROR(IF(AQ44=0,"",IF(($I44/12)=15,_xlfn.CONCAT(Constants!$N$7,TEXT(DATE(YEAR(H44)-(($I44/12)-3),MONTH(H44),DAY(H44)),"dd/mm/yyyy"),", ",Constants!$P$7,TEXT(DATE(YEAR(H44)-(($I44/12)-8),MONTH(H44),DAY(H44)),"dd/mm/yyyy"),", ",Constants!$T$7,TEXT(DATE(YEAR(H44)-(($I44/12)-11),MONTH(H44),DAY(H44)),"dd/mm/yyyy"),", ",Constants!$V$7,TEXT(DATE(YEAR(H44)-(($I44/12)-13),MONTH(H44),DAY(H44)),"dd/mm/yyyy"),", ",Constants!$W$7,TEXT($H44,"dd/mm/yyyy")),IF(($I44/12)=10,_xlfn.CONCAT(Constants!$N$6,TEXT(DATE(YEAR(H44)-(($I44/12)-2),MONTH(H44),DAY(H44)),"dd/mm/yyyy"),", ",Constants!$P$6,TEXT(DATE(YEAR(H44)-(($I44/12)-6),MONTH(H44),DAY(H44)),"dd/mm/yyyy"),", ",Constants!$T$6,TEXT(DATE(YEAR(H44)-(($I44/12)-8),MONTH(H44),DAY(H44)),"dd/mm/yyyy"),", ",Constants!$V$6,TEXT(DATE(YEAR(H44)-(($I44/12)-9),MONTH(H44),DAY(H44)),"dd/mm/yyyy"),", ",Constants!$W$6,TEXT($H44,"dd/mm/yyyy")),IF(($I44/12)=5,_xlfn.CONCAT(Constants!$N$5,TEXT(DATE(YEAR(H44)-(($I44/12)-1),MONTH(H44),DAY(H44)),"dd/mm/yyyy"),", ",Constants!$O$5,TEXT(DATE(YEAR(H44)-(($I44/12)-2),MONTH(H44),DAY(H44)),"dd/mm/yyyy"),", ",Constants!$P$5,TEXT(DATE(YEAR(H44)-(($I44/12)-3),MONTH(H44),DAY(H44)),"dd/mm/yyyy"),", ",Constants!$Q$5,TEXT(DATE(YEAR(H44)-(($I44/12)-4),MONTH(H44),DAY(H44)),"dd/mm/yyyy"),", ",Constants!$R$5,TEXT($H44,"dd/mm/yyyy")),IF(($I44/12)=3,_xlfn.CONCAT(Constants!$N$4,TEXT(DATE(YEAR(H44)-(($I44/12)-1),MONTH(H44),DAY(H44)),"dd/mm/yyyy"),", ",Constants!$O$4,TEXT(DATE(YEAR(H44)-(($I44/12)-2),MONTH(H44),DAY(H44)),"dd/mm/yyyy"),", ",Constants!$P$4,TEXT($H44,"dd/mm/yyyy")),IF(($I44/12)=2,_xlfn.CONCAT(Constants!$N$3,TEXT(DATE(YEAR(H44)-(($I44/12)-1),MONTH(H44),DAY(H44)),"dd/mm/yyyy"),", ",Constants!$O$3,TEXT($H44,"dd/mm/yyyy")),IF(($I44/12)=1,_xlfn.CONCAT(Constants!$N$2,TEXT($H44,"dd/mm/yyyy")),"Update Constants"))))))),"")</f>
        <v>2.5% to 31/01/2026, 1.5% to 31/01/2027</v>
      </c>
      <c r="BC44" s="147">
        <f>_xlfn.IFNA(VALUE(INDEX(Producer!$K:$K,MATCH($D44,Producer!$A:$A,0))),"")</f>
        <v>0</v>
      </c>
      <c r="BD44" s="147" t="str">
        <f>_xlfn.IFNA(INDEX(Producer!$I:$I,MATCH($D44,Producer!$A:$A,0)),"")</f>
        <v>No</v>
      </c>
      <c r="BE44" s="147" t="str">
        <f t="shared" si="8"/>
        <v>Yes</v>
      </c>
      <c r="BF44" s="147"/>
      <c r="BG44" s="147"/>
      <c r="BH44" s="151">
        <f>_xlfn.IFNA(INDEX(Constants!$B:$B,MATCH(BC44,Constants!A:A,0)),"")</f>
        <v>0</v>
      </c>
      <c r="BI44" s="147">
        <f>IF(LEFT(B44,15)="Limited Company",Constants!$D$16,IFERROR(_xlfn.IFNA(IF(C44="Residential",IF(BK44&lt;75,INDEX(Constants!$B:$B,MATCH(VALUE(60)/100,Constants!$A:$A,0)),INDEX(Constants!$B:$B,MATCH(VALUE(BK44)/100,Constants!$A:$A,0))),IF(BK44&lt;60,INDEX(Constants!$C:$C,MATCH(VALUE(60)/100,Constants!$A:$A,0)),INDEX(Constants!$C:$C,MATCH(VALUE(BK44)/100,Constants!$A:$A,0)))),""),""))</f>
        <v>1000000</v>
      </c>
      <c r="BJ44" s="147">
        <f t="shared" si="9"/>
        <v>0</v>
      </c>
      <c r="BK44" s="147">
        <f>_xlfn.IFNA(VALUE(INDEX(Producer!$E:$E,MATCH($D44,Producer!$A:$A,0)))*100,"")</f>
        <v>60</v>
      </c>
      <c r="BL44" s="146" t="str">
        <f>_xlfn.IFNA(IF(IFERROR(FIND("Part &amp; Part",B44),-10)&gt;0,"PP",IF(OR(LEFT(B44,25)="Residential Interest Only",INDEX(Producer!$P:$P,MATCH($D44,Producer!$A:$A,0))="IO",INDEX(Producer!$P:$P,MATCH($D44,Producer!$A:$A,0))="Retirement Interest Only"),"IO",IF($C44="BuyToLet","CI, IO","CI"))),"")</f>
        <v>CI, IO</v>
      </c>
      <c r="BM44" s="152">
        <f>_xlfn.IFNA(IF(BL44="IO",100%,IF(AND(INDEX(Producer!$P:$P,MATCH($D44,Producer!$A:$A,0))="Residential Interest Only Part &amp; Part",BK44=75),80%,IF(C44="BuyToLet",100%,IF(BL44="Interest Only",100%,IF(AND(INDEX(Producer!$P:$P,MATCH($D44,Producer!$A:$A,0))="Residential Interest Only Part &amp; Part",BK44=60),100%,""))))),"")</f>
        <v>1</v>
      </c>
      <c r="BN44" s="218" t="str">
        <f>_xlfn.IFNA(IF(VALUE(INDEX(Producer!$H:$H,MATCH($D44,Producer!$A:$A,0)))=0,"",VALUE(INDEX(Producer!$H:$H,MATCH($D44,Producer!$A:$A,0)))),"")</f>
        <v/>
      </c>
      <c r="BO44" s="153"/>
      <c r="BP44" s="153"/>
      <c r="BQ44" s="219">
        <f t="shared" si="10"/>
        <v>35</v>
      </c>
      <c r="BR44" s="146"/>
      <c r="BS44" s="146"/>
      <c r="BT44" s="146"/>
      <c r="BU44" s="146"/>
      <c r="BV44" s="219">
        <f t="shared" si="11"/>
        <v>199</v>
      </c>
      <c r="BW44" s="146"/>
      <c r="BX44" s="146"/>
      <c r="BY44" s="146" t="str">
        <f t="shared" si="12"/>
        <v>No</v>
      </c>
      <c r="BZ44" s="146" t="str">
        <f t="shared" si="13"/>
        <v>No</v>
      </c>
      <c r="CA44" s="146" t="str">
        <f t="shared" si="14"/>
        <v>No</v>
      </c>
      <c r="CB44" s="146" t="str">
        <f t="shared" si="15"/>
        <v>No</v>
      </c>
      <c r="CC44" s="146" t="str">
        <f>_xlfn.IFNA(IF(INDEX(Producer!$P:$P,MATCH($D44,Producer!$A:$A,0))="Help to Buy","Only available","No"),"")</f>
        <v>No</v>
      </c>
      <c r="CD44" s="146" t="str">
        <f>_xlfn.IFNA(IF(INDEX(Producer!$P:$P,MATCH($D44,Producer!$A:$A,0))="Shared Ownership","Only available","No"),"")</f>
        <v>No</v>
      </c>
      <c r="CE44" s="146" t="str">
        <f>_xlfn.IFNA(IF(INDEX(Producer!$P:$P,MATCH($D44,Producer!$A:$A,0))="Right to Buy","Only available","No"),"")</f>
        <v>No</v>
      </c>
      <c r="CF44" s="146" t="str">
        <f t="shared" si="16"/>
        <v>No</v>
      </c>
      <c r="CG44" s="146" t="str">
        <f>_xlfn.IFNA(IF(INDEX(Producer!$P:$P,MATCH($D44,Producer!$A:$A,0))="Retirement Interest Only","Only available","No"),"")</f>
        <v>No</v>
      </c>
      <c r="CH44" s="146" t="str">
        <f t="shared" si="17"/>
        <v>No</v>
      </c>
      <c r="CI44" s="146" t="str">
        <f>_xlfn.IFNA(IF(INDEX(Producer!$P:$P,MATCH($D44,Producer!$A:$A,0))="Intermediary Holiday Let","Only available","No"),"")</f>
        <v>No</v>
      </c>
      <c r="CJ44" s="146" t="str">
        <f t="shared" si="18"/>
        <v>No</v>
      </c>
      <c r="CK44" s="146" t="str">
        <f>_xlfn.IFNA(IF(OR(INDEX(Producer!$P:$P,MATCH($D44,Producer!$A:$A,0))="Intermediary Small HMO",INDEX(Producer!$P:$P,MATCH($D44,Producer!$A:$A,0))="Intermediary Large HMO"),"Only available","No"),"")</f>
        <v>No</v>
      </c>
      <c r="CL44" s="146" t="str">
        <f t="shared" si="19"/>
        <v>Also available</v>
      </c>
      <c r="CM44" s="146" t="str">
        <f t="shared" si="20"/>
        <v>Only available</v>
      </c>
      <c r="CN44" s="146" t="str">
        <f t="shared" si="21"/>
        <v>No</v>
      </c>
      <c r="CO44" s="146" t="str">
        <f t="shared" si="22"/>
        <v>Also available</v>
      </c>
      <c r="CP44" s="146" t="str">
        <f t="shared" si="23"/>
        <v>No</v>
      </c>
      <c r="CQ44" s="146" t="str">
        <f t="shared" si="24"/>
        <v>No</v>
      </c>
      <c r="CR44" s="146" t="str">
        <f t="shared" si="25"/>
        <v>Also available</v>
      </c>
      <c r="CS44" s="146" t="str">
        <f t="shared" si="26"/>
        <v>Only available</v>
      </c>
      <c r="CT44" s="146" t="str">
        <f t="shared" si="27"/>
        <v>No</v>
      </c>
      <c r="CU44" s="146"/>
    </row>
    <row r="45" spans="1:99" ht="16.399999999999999" customHeight="1" x14ac:dyDescent="0.35">
      <c r="A45" s="145" t="str">
        <f t="shared" si="0"/>
        <v>Leeds Building Society</v>
      </c>
      <c r="B45" s="145" t="str">
        <f>_xlfn.IFNA(_xlfn.CONCAT(INDEX(Producer!$P:$P,MATCH($D45,Producer!$A:$A,0))," ",IF(INDEX(Producer!$N:$N,MATCH($D45,Producer!$A:$A,0))="Yes","Green ",""),IF(AND(INDEX(Producer!$L:$L,MATCH($D45,Producer!$A:$A,0))="No",INDEX(Producer!$C:$C,MATCH($D45,Producer!$A:$A,0))="Fixed"),"Flexit ",""),INDEX(Producer!$B:$B,MATCH($D45,Producer!$A:$A,0))," Year ",INDEX(Producer!$C:$C,MATCH($D45,Producer!$A:$A,0))," ",VALUE(INDEX(Producer!$E:$E,MATCH($D45,Producer!$A:$A,0)))*100,"% LTV",IF(INDEX(Producer!$N:$N,MATCH($D45,Producer!$A:$A,0))="Yes"," (EPC A-C)","")," - ",IF(INDEX(Producer!$D:$D,MATCH($D45,Producer!$A:$A,0))="DLY","Daily","Annual")),"")</f>
        <v>Intermediary Portfolio BTL 2 Year Fixed 75% LTV - Daily</v>
      </c>
      <c r="C45" s="146" t="str">
        <f>_xlfn.IFNA(INDEX(Producer!$Q:$Q,MATCH($D45,Producer!$A:$A,0)),"")</f>
        <v>BuyToLet</v>
      </c>
      <c r="D45" s="146">
        <f>IFERROR(VALUE(MID(Producer!$R$2,IF($D44="",1/0,FIND(_xlfn.CONCAT($D43,$D44),Producer!$R$2)+10),5)),"")</f>
        <v>54373</v>
      </c>
      <c r="E45" s="146" t="str">
        <f t="shared" si="1"/>
        <v>Stepped Fixed</v>
      </c>
      <c r="F45" s="146"/>
      <c r="G45" s="147">
        <f>_xlfn.IFNA(VALUE(INDEX(Producer!$F:$F,MATCH($D45,Producer!$A:$A,0)))*100,"")</f>
        <v>5.54</v>
      </c>
      <c r="H45" s="216">
        <f>_xlfn.IFNA(IFERROR(DATEVALUE(INDEX(Producer!$M:$M,MATCH($D45,Producer!$A:$A,0))),(INDEX(Producer!$M:$M,MATCH($D45,Producer!$A:$A,0)))),"")</f>
        <v>46418</v>
      </c>
      <c r="I45" s="217">
        <f>_xlfn.IFNA(VALUE(INDEX(Producer!$B:$B,MATCH($D45,Producer!$A:$A,0)))*12,"")</f>
        <v>24</v>
      </c>
      <c r="J45" s="146">
        <f>_xlfn.IFNA(IF(C45="Residential",IF(VALUE(INDEX(Producer!$B:$B,MATCH($D45,Producer!$A:$A,0)))&lt;5,Constants!$C$10,""),IF(VALUE(INDEX(Producer!$B:$B,MATCH($D45,Producer!$A:$A,0)))&lt;5,Constants!$C$11,"")),"")</f>
        <v>7.54</v>
      </c>
      <c r="K45" s="216">
        <f>_xlfn.IFNA(IF(($I45)&lt;60,DATE(YEAR(H45)+(5-VALUE(INDEX(Producer!$B:$B,MATCH($D45,Producer!$A:$A,0)))),MONTH(H45),DAY(H45)),""),"")</f>
        <v>47514</v>
      </c>
      <c r="L45" s="153">
        <f t="shared" si="2"/>
        <v>36</v>
      </c>
      <c r="M45" s="146"/>
      <c r="N45" s="148"/>
      <c r="O45" s="148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>
        <f>IF(D45="","",IF(C45="Residential",Constants!$B$10,Constants!$B$11))</f>
        <v>8.5399999999999991</v>
      </c>
      <c r="AL45" s="146" t="str">
        <f t="shared" si="3"/>
        <v>BVR</v>
      </c>
      <c r="AM45" s="206" t="str">
        <f t="shared" si="4"/>
        <v/>
      </c>
      <c r="AN45" s="146">
        <f t="shared" si="5"/>
        <v>10</v>
      </c>
      <c r="AO45" s="149" t="str">
        <f t="shared" si="6"/>
        <v>Remortgage</v>
      </c>
      <c r="AP45" s="150" t="str">
        <f t="shared" si="7"/>
        <v>ProductTransfer</v>
      </c>
      <c r="AQ45" s="146">
        <f>IFERROR(_xlfn.IFNA(IF($BA45="No",0,IF(INDEX(Constants!B:B,MATCH(($I45/12),Constants!$A:$A,0))=0,0,INDEX(Constants!B:B,MATCH(($I45/12),Constants!$A:$A,0)))),0),"")</f>
        <v>2.5</v>
      </c>
      <c r="AR45" s="146">
        <f>IFERROR(_xlfn.IFNA(IF($BA45="No",0,IF(INDEX(Constants!C:C,MATCH(($I45/12),Constants!$A:$A,0))=0,0,INDEX(Constants!C:C,MATCH(($I45/12),Constants!$A:$A,0)))),0),"")</f>
        <v>1.5</v>
      </c>
      <c r="AS45" s="146">
        <f>IFERROR(_xlfn.IFNA(IF($BA45="No",0,IF(INDEX(Constants!D:D,MATCH(($I45/12),Constants!$A:$A,0))=0,0,INDEX(Constants!D:D,MATCH(($I45/12),Constants!$A:$A,0)))),0),"")</f>
        <v>0</v>
      </c>
      <c r="AT45" s="146">
        <f>IFERROR(_xlfn.IFNA(IF($BA45="No",0,IF(INDEX(Constants!E:E,MATCH(($I45/12),Constants!$A:$A,0))=0,0,INDEX(Constants!E:E,MATCH(($I45/12),Constants!$A:$A,0)))),0),"")</f>
        <v>0</v>
      </c>
      <c r="AU45" s="146">
        <f>IFERROR(_xlfn.IFNA(IF($BA45="No",0,IF(INDEX(Constants!F:F,MATCH(($I45/12),Constants!$A:$A,0))=0,0,INDEX(Constants!F:F,MATCH(($I45/12),Constants!$A:$A,0)))),0),"")</f>
        <v>0</v>
      </c>
      <c r="AV45" s="146">
        <f>IFERROR(_xlfn.IFNA(IF($BA45="No",0,IF(INDEX(Constants!G:G,MATCH(($I45/12),Constants!$A:$A,0))=0,0,INDEX(Constants!G:G,MATCH(($I45/12),Constants!$A:$A,0)))),0),"")</f>
        <v>0</v>
      </c>
      <c r="AW45" s="146">
        <f>IFERROR(_xlfn.IFNA(IF($BA45="No",0,IF(INDEX(Constants!H:H,MATCH(($I45/12),Constants!$A:$A,0))=0,0,INDEX(Constants!H:H,MATCH(($I45/12),Constants!$A:$A,0)))),0),"")</f>
        <v>0</v>
      </c>
      <c r="AX45" s="146">
        <f>IFERROR(_xlfn.IFNA(IF($BA45="No",0,IF(INDEX(Constants!I:I,MATCH(($I45/12),Constants!$A:$A,0))=0,0,INDEX(Constants!I:I,MATCH(($I45/12),Constants!$A:$A,0)))),0),"")</f>
        <v>0</v>
      </c>
      <c r="AY45" s="146">
        <f>IFERROR(_xlfn.IFNA(IF($BA45="No",0,IF(INDEX(Constants!J:J,MATCH(($I45/12),Constants!$A:$A,0))=0,0,INDEX(Constants!J:J,MATCH(($I45/12),Constants!$A:$A,0)))),0),"")</f>
        <v>0</v>
      </c>
      <c r="AZ45" s="146">
        <f>IFERROR(_xlfn.IFNA(IF($BA45="No",0,IF(INDEX(Constants!K:K,MATCH(($I45/12),Constants!$A:$A,0))=0,0,INDEX(Constants!K:K,MATCH(($I45/12),Constants!$A:$A,0)))),0),"")</f>
        <v>0</v>
      </c>
      <c r="BA45" s="147" t="str">
        <f>_xlfn.IFNA(INDEX(Producer!$L:$L,MATCH($D45,Producer!$A:$A,0)),"")</f>
        <v>Yes</v>
      </c>
      <c r="BB45" s="146" t="str">
        <f>IFERROR(IF(AQ45=0,"",IF(($I45/12)=15,_xlfn.CONCAT(Constants!$N$7,TEXT(DATE(YEAR(H45)-(($I45/12)-3),MONTH(H45),DAY(H45)),"dd/mm/yyyy"),", ",Constants!$P$7,TEXT(DATE(YEAR(H45)-(($I45/12)-8),MONTH(H45),DAY(H45)),"dd/mm/yyyy"),", ",Constants!$T$7,TEXT(DATE(YEAR(H45)-(($I45/12)-11),MONTH(H45),DAY(H45)),"dd/mm/yyyy"),", ",Constants!$V$7,TEXT(DATE(YEAR(H45)-(($I45/12)-13),MONTH(H45),DAY(H45)),"dd/mm/yyyy"),", ",Constants!$W$7,TEXT($H45,"dd/mm/yyyy")),IF(($I45/12)=10,_xlfn.CONCAT(Constants!$N$6,TEXT(DATE(YEAR(H45)-(($I45/12)-2),MONTH(H45),DAY(H45)),"dd/mm/yyyy"),", ",Constants!$P$6,TEXT(DATE(YEAR(H45)-(($I45/12)-6),MONTH(H45),DAY(H45)),"dd/mm/yyyy"),", ",Constants!$T$6,TEXT(DATE(YEAR(H45)-(($I45/12)-8),MONTH(H45),DAY(H45)),"dd/mm/yyyy"),", ",Constants!$V$6,TEXT(DATE(YEAR(H45)-(($I45/12)-9),MONTH(H45),DAY(H45)),"dd/mm/yyyy"),", ",Constants!$W$6,TEXT($H45,"dd/mm/yyyy")),IF(($I45/12)=5,_xlfn.CONCAT(Constants!$N$5,TEXT(DATE(YEAR(H45)-(($I45/12)-1),MONTH(H45),DAY(H45)),"dd/mm/yyyy"),", ",Constants!$O$5,TEXT(DATE(YEAR(H45)-(($I45/12)-2),MONTH(H45),DAY(H45)),"dd/mm/yyyy"),", ",Constants!$P$5,TEXT(DATE(YEAR(H45)-(($I45/12)-3),MONTH(H45),DAY(H45)),"dd/mm/yyyy"),", ",Constants!$Q$5,TEXT(DATE(YEAR(H45)-(($I45/12)-4),MONTH(H45),DAY(H45)),"dd/mm/yyyy"),", ",Constants!$R$5,TEXT($H45,"dd/mm/yyyy")),IF(($I45/12)=3,_xlfn.CONCAT(Constants!$N$4,TEXT(DATE(YEAR(H45)-(($I45/12)-1),MONTH(H45),DAY(H45)),"dd/mm/yyyy"),", ",Constants!$O$4,TEXT(DATE(YEAR(H45)-(($I45/12)-2),MONTH(H45),DAY(H45)),"dd/mm/yyyy"),", ",Constants!$P$4,TEXT($H45,"dd/mm/yyyy")),IF(($I45/12)=2,_xlfn.CONCAT(Constants!$N$3,TEXT(DATE(YEAR(H45)-(($I45/12)-1),MONTH(H45),DAY(H45)),"dd/mm/yyyy"),", ",Constants!$O$3,TEXT($H45,"dd/mm/yyyy")),IF(($I45/12)=1,_xlfn.CONCAT(Constants!$N$2,TEXT($H45,"dd/mm/yyyy")),"Update Constants"))))))),"")</f>
        <v>2.5% to 31/01/2026, 1.5% to 31/01/2027</v>
      </c>
      <c r="BC45" s="147">
        <f>_xlfn.IFNA(VALUE(INDEX(Producer!$K:$K,MATCH($D45,Producer!$A:$A,0))),"")</f>
        <v>0</v>
      </c>
      <c r="BD45" s="147" t="str">
        <f>_xlfn.IFNA(INDEX(Producer!$I:$I,MATCH($D45,Producer!$A:$A,0)),"")</f>
        <v>No</v>
      </c>
      <c r="BE45" s="147" t="str">
        <f t="shared" si="8"/>
        <v>Yes</v>
      </c>
      <c r="BF45" s="147"/>
      <c r="BG45" s="147"/>
      <c r="BH45" s="151">
        <f>_xlfn.IFNA(INDEX(Constants!$B:$B,MATCH(BC45,Constants!A:A,0)),"")</f>
        <v>0</v>
      </c>
      <c r="BI45" s="147">
        <f>IF(LEFT(B45,15)="Limited Company",Constants!$D$16,IFERROR(_xlfn.IFNA(IF(C45="Residential",IF(BK45&lt;75,INDEX(Constants!$B:$B,MATCH(VALUE(60)/100,Constants!$A:$A,0)),INDEX(Constants!$B:$B,MATCH(VALUE(BK45)/100,Constants!$A:$A,0))),IF(BK45&lt;60,INDEX(Constants!$C:$C,MATCH(VALUE(60)/100,Constants!$A:$A,0)),INDEX(Constants!$C:$C,MATCH(VALUE(BK45)/100,Constants!$A:$A,0)))),""),""))</f>
        <v>1000000</v>
      </c>
      <c r="BJ45" s="147">
        <f t="shared" si="9"/>
        <v>0</v>
      </c>
      <c r="BK45" s="147">
        <f>_xlfn.IFNA(VALUE(INDEX(Producer!$E:$E,MATCH($D45,Producer!$A:$A,0)))*100,"")</f>
        <v>75</v>
      </c>
      <c r="BL45" s="146" t="str">
        <f>_xlfn.IFNA(IF(IFERROR(FIND("Part &amp; Part",B45),-10)&gt;0,"PP",IF(OR(LEFT(B45,25)="Residential Interest Only",INDEX(Producer!$P:$P,MATCH($D45,Producer!$A:$A,0))="IO",INDEX(Producer!$P:$P,MATCH($D45,Producer!$A:$A,0))="Retirement Interest Only"),"IO",IF($C45="BuyToLet","CI, IO","CI"))),"")</f>
        <v>CI, IO</v>
      </c>
      <c r="BM45" s="152">
        <f>_xlfn.IFNA(IF(BL45="IO",100%,IF(AND(INDEX(Producer!$P:$P,MATCH($D45,Producer!$A:$A,0))="Residential Interest Only Part &amp; Part",BK45=75),80%,IF(C45="BuyToLet",100%,IF(BL45="Interest Only",100%,IF(AND(INDEX(Producer!$P:$P,MATCH($D45,Producer!$A:$A,0))="Residential Interest Only Part &amp; Part",BK45=60),100%,""))))),"")</f>
        <v>1</v>
      </c>
      <c r="BN45" s="218">
        <f>_xlfn.IFNA(IF(VALUE(INDEX(Producer!$H:$H,MATCH($D45,Producer!$A:$A,0)))=0,"",VALUE(INDEX(Producer!$H:$H,MATCH($D45,Producer!$A:$A,0)))),"")</f>
        <v>999</v>
      </c>
      <c r="BO45" s="153"/>
      <c r="BP45" s="153"/>
      <c r="BQ45" s="219">
        <f t="shared" si="10"/>
        <v>35</v>
      </c>
      <c r="BR45" s="146"/>
      <c r="BS45" s="146"/>
      <c r="BT45" s="146"/>
      <c r="BU45" s="146"/>
      <c r="BV45" s="219">
        <f t="shared" si="11"/>
        <v>199</v>
      </c>
      <c r="BW45" s="146"/>
      <c r="BX45" s="146"/>
      <c r="BY45" s="146" t="str">
        <f t="shared" si="12"/>
        <v>No</v>
      </c>
      <c r="BZ45" s="146" t="str">
        <f t="shared" si="13"/>
        <v>No</v>
      </c>
      <c r="CA45" s="146" t="str">
        <f t="shared" si="14"/>
        <v>No</v>
      </c>
      <c r="CB45" s="146" t="str">
        <f t="shared" si="15"/>
        <v>No</v>
      </c>
      <c r="CC45" s="146" t="str">
        <f>_xlfn.IFNA(IF(INDEX(Producer!$P:$P,MATCH($D45,Producer!$A:$A,0))="Help to Buy","Only available","No"),"")</f>
        <v>No</v>
      </c>
      <c r="CD45" s="146" t="str">
        <f>_xlfn.IFNA(IF(INDEX(Producer!$P:$P,MATCH($D45,Producer!$A:$A,0))="Shared Ownership","Only available","No"),"")</f>
        <v>No</v>
      </c>
      <c r="CE45" s="146" t="str">
        <f>_xlfn.IFNA(IF(INDEX(Producer!$P:$P,MATCH($D45,Producer!$A:$A,0))="Right to Buy","Only available","No"),"")</f>
        <v>No</v>
      </c>
      <c r="CF45" s="146" t="str">
        <f t="shared" si="16"/>
        <v>No</v>
      </c>
      <c r="CG45" s="146" t="str">
        <f>_xlfn.IFNA(IF(INDEX(Producer!$P:$P,MATCH($D45,Producer!$A:$A,0))="Retirement Interest Only","Only available","No"),"")</f>
        <v>No</v>
      </c>
      <c r="CH45" s="146" t="str">
        <f t="shared" si="17"/>
        <v>No</v>
      </c>
      <c r="CI45" s="146" t="str">
        <f>_xlfn.IFNA(IF(INDEX(Producer!$P:$P,MATCH($D45,Producer!$A:$A,0))="Intermediary Holiday Let","Only available","No"),"")</f>
        <v>No</v>
      </c>
      <c r="CJ45" s="146" t="str">
        <f t="shared" si="18"/>
        <v>No</v>
      </c>
      <c r="CK45" s="146" t="str">
        <f>_xlfn.IFNA(IF(OR(INDEX(Producer!$P:$P,MATCH($D45,Producer!$A:$A,0))="Intermediary Small HMO",INDEX(Producer!$P:$P,MATCH($D45,Producer!$A:$A,0))="Intermediary Large HMO"),"Only available","No"),"")</f>
        <v>No</v>
      </c>
      <c r="CL45" s="146" t="str">
        <f t="shared" si="19"/>
        <v>Also available</v>
      </c>
      <c r="CM45" s="146" t="str">
        <f t="shared" si="20"/>
        <v>Only available</v>
      </c>
      <c r="CN45" s="146" t="str">
        <f t="shared" si="21"/>
        <v>No</v>
      </c>
      <c r="CO45" s="146" t="str">
        <f t="shared" si="22"/>
        <v>Also available</v>
      </c>
      <c r="CP45" s="146" t="str">
        <f t="shared" si="23"/>
        <v>No</v>
      </c>
      <c r="CQ45" s="146" t="str">
        <f t="shared" si="24"/>
        <v>No</v>
      </c>
      <c r="CR45" s="146" t="str">
        <f t="shared" si="25"/>
        <v>Also available</v>
      </c>
      <c r="CS45" s="146" t="str">
        <f t="shared" si="26"/>
        <v>Only available</v>
      </c>
      <c r="CT45" s="146" t="str">
        <f t="shared" si="27"/>
        <v>No</v>
      </c>
      <c r="CU45" s="146"/>
    </row>
    <row r="46" spans="1:99" ht="16.399999999999999" customHeight="1" x14ac:dyDescent="0.35">
      <c r="A46" s="145" t="str">
        <f t="shared" si="0"/>
        <v>Leeds Building Society</v>
      </c>
      <c r="B46" s="145" t="str">
        <f>_xlfn.IFNA(_xlfn.CONCAT(INDEX(Producer!$P:$P,MATCH($D46,Producer!$A:$A,0))," ",IF(INDEX(Producer!$N:$N,MATCH($D46,Producer!$A:$A,0))="Yes","Green ",""),IF(AND(INDEX(Producer!$L:$L,MATCH($D46,Producer!$A:$A,0))="No",INDEX(Producer!$C:$C,MATCH($D46,Producer!$A:$A,0))="Fixed"),"Flexit ",""),INDEX(Producer!$B:$B,MATCH($D46,Producer!$A:$A,0))," Year ",INDEX(Producer!$C:$C,MATCH($D46,Producer!$A:$A,0))," ",VALUE(INDEX(Producer!$E:$E,MATCH($D46,Producer!$A:$A,0)))*100,"% LTV",IF(INDEX(Producer!$N:$N,MATCH($D46,Producer!$A:$A,0))="Yes"," (EPC A-C)","")," - ",IF(INDEX(Producer!$D:$D,MATCH($D46,Producer!$A:$A,0))="DLY","Daily","Annual")),"")</f>
        <v>Intermediary Portfolio BTL 2 Year Fixed 75% LTV - Daily</v>
      </c>
      <c r="C46" s="146" t="str">
        <f>_xlfn.IFNA(INDEX(Producer!$Q:$Q,MATCH($D46,Producer!$A:$A,0)),"")</f>
        <v>BuyToLet</v>
      </c>
      <c r="D46" s="146">
        <f>IFERROR(VALUE(MID(Producer!$R$2,IF($D45="",1/0,FIND(_xlfn.CONCAT($D44,$D45),Producer!$R$2)+10),5)),"")</f>
        <v>54366</v>
      </c>
      <c r="E46" s="146" t="str">
        <f t="shared" si="1"/>
        <v>Stepped Fixed</v>
      </c>
      <c r="F46" s="146"/>
      <c r="G46" s="147">
        <f>_xlfn.IFNA(VALUE(INDEX(Producer!$F:$F,MATCH($D46,Producer!$A:$A,0)))*100,"")</f>
        <v>6.18</v>
      </c>
      <c r="H46" s="216">
        <f>_xlfn.IFNA(IFERROR(DATEVALUE(INDEX(Producer!$M:$M,MATCH($D46,Producer!$A:$A,0))),(INDEX(Producer!$M:$M,MATCH($D46,Producer!$A:$A,0)))),"")</f>
        <v>46418</v>
      </c>
      <c r="I46" s="217">
        <f>_xlfn.IFNA(VALUE(INDEX(Producer!$B:$B,MATCH($D46,Producer!$A:$A,0)))*12,"")</f>
        <v>24</v>
      </c>
      <c r="J46" s="146">
        <f>_xlfn.IFNA(IF(C46="Residential",IF(VALUE(INDEX(Producer!$B:$B,MATCH($D46,Producer!$A:$A,0)))&lt;5,Constants!$C$10,""),IF(VALUE(INDEX(Producer!$B:$B,MATCH($D46,Producer!$A:$A,0)))&lt;5,Constants!$C$11,"")),"")</f>
        <v>7.54</v>
      </c>
      <c r="K46" s="216">
        <f>_xlfn.IFNA(IF(($I46)&lt;60,DATE(YEAR(H46)+(5-VALUE(INDEX(Producer!$B:$B,MATCH($D46,Producer!$A:$A,0)))),MONTH(H46),DAY(H46)),""),"")</f>
        <v>47514</v>
      </c>
      <c r="L46" s="153">
        <f t="shared" si="2"/>
        <v>36</v>
      </c>
      <c r="M46" s="146"/>
      <c r="N46" s="148"/>
      <c r="O46" s="148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>
        <f>IF(D46="","",IF(C46="Residential",Constants!$B$10,Constants!$B$11))</f>
        <v>8.5399999999999991</v>
      </c>
      <c r="AL46" s="146" t="str">
        <f t="shared" si="3"/>
        <v>BVR</v>
      </c>
      <c r="AM46" s="206" t="str">
        <f t="shared" si="4"/>
        <v/>
      </c>
      <c r="AN46" s="146">
        <f t="shared" si="5"/>
        <v>10</v>
      </c>
      <c r="AO46" s="149" t="str">
        <f t="shared" si="6"/>
        <v>Remortgage</v>
      </c>
      <c r="AP46" s="150" t="str">
        <f t="shared" si="7"/>
        <v>ProductTransfer</v>
      </c>
      <c r="AQ46" s="146">
        <f>IFERROR(_xlfn.IFNA(IF($BA46="No",0,IF(INDEX(Constants!B:B,MATCH(($I46/12),Constants!$A:$A,0))=0,0,INDEX(Constants!B:B,MATCH(($I46/12),Constants!$A:$A,0)))),0),"")</f>
        <v>2.5</v>
      </c>
      <c r="AR46" s="146">
        <f>IFERROR(_xlfn.IFNA(IF($BA46="No",0,IF(INDEX(Constants!C:C,MATCH(($I46/12),Constants!$A:$A,0))=0,0,INDEX(Constants!C:C,MATCH(($I46/12),Constants!$A:$A,0)))),0),"")</f>
        <v>1.5</v>
      </c>
      <c r="AS46" s="146">
        <f>IFERROR(_xlfn.IFNA(IF($BA46="No",0,IF(INDEX(Constants!D:D,MATCH(($I46/12),Constants!$A:$A,0))=0,0,INDEX(Constants!D:D,MATCH(($I46/12),Constants!$A:$A,0)))),0),"")</f>
        <v>0</v>
      </c>
      <c r="AT46" s="146">
        <f>IFERROR(_xlfn.IFNA(IF($BA46="No",0,IF(INDEX(Constants!E:E,MATCH(($I46/12),Constants!$A:$A,0))=0,0,INDEX(Constants!E:E,MATCH(($I46/12),Constants!$A:$A,0)))),0),"")</f>
        <v>0</v>
      </c>
      <c r="AU46" s="146">
        <f>IFERROR(_xlfn.IFNA(IF($BA46="No",0,IF(INDEX(Constants!F:F,MATCH(($I46/12),Constants!$A:$A,0))=0,0,INDEX(Constants!F:F,MATCH(($I46/12),Constants!$A:$A,0)))),0),"")</f>
        <v>0</v>
      </c>
      <c r="AV46" s="146">
        <f>IFERROR(_xlfn.IFNA(IF($BA46="No",0,IF(INDEX(Constants!G:G,MATCH(($I46/12),Constants!$A:$A,0))=0,0,INDEX(Constants!G:G,MATCH(($I46/12),Constants!$A:$A,0)))),0),"")</f>
        <v>0</v>
      </c>
      <c r="AW46" s="146">
        <f>IFERROR(_xlfn.IFNA(IF($BA46="No",0,IF(INDEX(Constants!H:H,MATCH(($I46/12),Constants!$A:$A,0))=0,0,INDEX(Constants!H:H,MATCH(($I46/12),Constants!$A:$A,0)))),0),"")</f>
        <v>0</v>
      </c>
      <c r="AX46" s="146">
        <f>IFERROR(_xlfn.IFNA(IF($BA46="No",0,IF(INDEX(Constants!I:I,MATCH(($I46/12),Constants!$A:$A,0))=0,0,INDEX(Constants!I:I,MATCH(($I46/12),Constants!$A:$A,0)))),0),"")</f>
        <v>0</v>
      </c>
      <c r="AY46" s="146">
        <f>IFERROR(_xlfn.IFNA(IF($BA46="No",0,IF(INDEX(Constants!J:J,MATCH(($I46/12),Constants!$A:$A,0))=0,0,INDEX(Constants!J:J,MATCH(($I46/12),Constants!$A:$A,0)))),0),"")</f>
        <v>0</v>
      </c>
      <c r="AZ46" s="146">
        <f>IFERROR(_xlfn.IFNA(IF($BA46="No",0,IF(INDEX(Constants!K:K,MATCH(($I46/12),Constants!$A:$A,0))=0,0,INDEX(Constants!K:K,MATCH(($I46/12),Constants!$A:$A,0)))),0),"")</f>
        <v>0</v>
      </c>
      <c r="BA46" s="147" t="str">
        <f>_xlfn.IFNA(INDEX(Producer!$L:$L,MATCH($D46,Producer!$A:$A,0)),"")</f>
        <v>Yes</v>
      </c>
      <c r="BB46" s="146" t="str">
        <f>IFERROR(IF(AQ46=0,"",IF(($I46/12)=15,_xlfn.CONCAT(Constants!$N$7,TEXT(DATE(YEAR(H46)-(($I46/12)-3),MONTH(H46),DAY(H46)),"dd/mm/yyyy"),", ",Constants!$P$7,TEXT(DATE(YEAR(H46)-(($I46/12)-8),MONTH(H46),DAY(H46)),"dd/mm/yyyy"),", ",Constants!$T$7,TEXT(DATE(YEAR(H46)-(($I46/12)-11),MONTH(H46),DAY(H46)),"dd/mm/yyyy"),", ",Constants!$V$7,TEXT(DATE(YEAR(H46)-(($I46/12)-13),MONTH(H46),DAY(H46)),"dd/mm/yyyy"),", ",Constants!$W$7,TEXT($H46,"dd/mm/yyyy")),IF(($I46/12)=10,_xlfn.CONCAT(Constants!$N$6,TEXT(DATE(YEAR(H46)-(($I46/12)-2),MONTH(H46),DAY(H46)),"dd/mm/yyyy"),", ",Constants!$P$6,TEXT(DATE(YEAR(H46)-(($I46/12)-6),MONTH(H46),DAY(H46)),"dd/mm/yyyy"),", ",Constants!$T$6,TEXT(DATE(YEAR(H46)-(($I46/12)-8),MONTH(H46),DAY(H46)),"dd/mm/yyyy"),", ",Constants!$V$6,TEXT(DATE(YEAR(H46)-(($I46/12)-9),MONTH(H46),DAY(H46)),"dd/mm/yyyy"),", ",Constants!$W$6,TEXT($H46,"dd/mm/yyyy")),IF(($I46/12)=5,_xlfn.CONCAT(Constants!$N$5,TEXT(DATE(YEAR(H46)-(($I46/12)-1),MONTH(H46),DAY(H46)),"dd/mm/yyyy"),", ",Constants!$O$5,TEXT(DATE(YEAR(H46)-(($I46/12)-2),MONTH(H46),DAY(H46)),"dd/mm/yyyy"),", ",Constants!$P$5,TEXT(DATE(YEAR(H46)-(($I46/12)-3),MONTH(H46),DAY(H46)),"dd/mm/yyyy"),", ",Constants!$Q$5,TEXT(DATE(YEAR(H46)-(($I46/12)-4),MONTH(H46),DAY(H46)),"dd/mm/yyyy"),", ",Constants!$R$5,TEXT($H46,"dd/mm/yyyy")),IF(($I46/12)=3,_xlfn.CONCAT(Constants!$N$4,TEXT(DATE(YEAR(H46)-(($I46/12)-1),MONTH(H46),DAY(H46)),"dd/mm/yyyy"),", ",Constants!$O$4,TEXT(DATE(YEAR(H46)-(($I46/12)-2),MONTH(H46),DAY(H46)),"dd/mm/yyyy"),", ",Constants!$P$4,TEXT($H46,"dd/mm/yyyy")),IF(($I46/12)=2,_xlfn.CONCAT(Constants!$N$3,TEXT(DATE(YEAR(H46)-(($I46/12)-1),MONTH(H46),DAY(H46)),"dd/mm/yyyy"),", ",Constants!$O$3,TEXT($H46,"dd/mm/yyyy")),IF(($I46/12)=1,_xlfn.CONCAT(Constants!$N$2,TEXT($H46,"dd/mm/yyyy")),"Update Constants"))))))),"")</f>
        <v>2.5% to 31/01/2026, 1.5% to 31/01/2027</v>
      </c>
      <c r="BC46" s="147">
        <f>_xlfn.IFNA(VALUE(INDEX(Producer!$K:$K,MATCH($D46,Producer!$A:$A,0))),"")</f>
        <v>0</v>
      </c>
      <c r="BD46" s="147" t="str">
        <f>_xlfn.IFNA(INDEX(Producer!$I:$I,MATCH($D46,Producer!$A:$A,0)),"")</f>
        <v>No</v>
      </c>
      <c r="BE46" s="147" t="str">
        <f t="shared" si="8"/>
        <v>Yes</v>
      </c>
      <c r="BF46" s="147"/>
      <c r="BG46" s="147"/>
      <c r="BH46" s="151">
        <f>_xlfn.IFNA(INDEX(Constants!$B:$B,MATCH(BC46,Constants!A:A,0)),"")</f>
        <v>0</v>
      </c>
      <c r="BI46" s="147">
        <f>IF(LEFT(B46,15)="Limited Company",Constants!$D$16,IFERROR(_xlfn.IFNA(IF(C46="Residential",IF(BK46&lt;75,INDEX(Constants!$B:$B,MATCH(VALUE(60)/100,Constants!$A:$A,0)),INDEX(Constants!$B:$B,MATCH(VALUE(BK46)/100,Constants!$A:$A,0))),IF(BK46&lt;60,INDEX(Constants!$C:$C,MATCH(VALUE(60)/100,Constants!$A:$A,0)),INDEX(Constants!$C:$C,MATCH(VALUE(BK46)/100,Constants!$A:$A,0)))),""),""))</f>
        <v>1000000</v>
      </c>
      <c r="BJ46" s="147">
        <f t="shared" si="9"/>
        <v>0</v>
      </c>
      <c r="BK46" s="147">
        <f>_xlfn.IFNA(VALUE(INDEX(Producer!$E:$E,MATCH($D46,Producer!$A:$A,0)))*100,"")</f>
        <v>75</v>
      </c>
      <c r="BL46" s="146" t="str">
        <f>_xlfn.IFNA(IF(IFERROR(FIND("Part &amp; Part",B46),-10)&gt;0,"PP",IF(OR(LEFT(B46,25)="Residential Interest Only",INDEX(Producer!$P:$P,MATCH($D46,Producer!$A:$A,0))="IO",INDEX(Producer!$P:$P,MATCH($D46,Producer!$A:$A,0))="Retirement Interest Only"),"IO",IF($C46="BuyToLet","CI, IO","CI"))),"")</f>
        <v>CI, IO</v>
      </c>
      <c r="BM46" s="152">
        <f>_xlfn.IFNA(IF(BL46="IO",100%,IF(AND(INDEX(Producer!$P:$P,MATCH($D46,Producer!$A:$A,0))="Residential Interest Only Part &amp; Part",BK46=75),80%,IF(C46="BuyToLet",100%,IF(BL46="Interest Only",100%,IF(AND(INDEX(Producer!$P:$P,MATCH($D46,Producer!$A:$A,0))="Residential Interest Only Part &amp; Part",BK46=60),100%,""))))),"")</f>
        <v>1</v>
      </c>
      <c r="BN46" s="218" t="str">
        <f>_xlfn.IFNA(IF(VALUE(INDEX(Producer!$H:$H,MATCH($D46,Producer!$A:$A,0)))=0,"",VALUE(INDEX(Producer!$H:$H,MATCH($D46,Producer!$A:$A,0)))),"")</f>
        <v/>
      </c>
      <c r="BO46" s="153"/>
      <c r="BP46" s="153"/>
      <c r="BQ46" s="219">
        <f t="shared" si="10"/>
        <v>35</v>
      </c>
      <c r="BR46" s="146"/>
      <c r="BS46" s="146"/>
      <c r="BT46" s="146"/>
      <c r="BU46" s="146"/>
      <c r="BV46" s="219">
        <f t="shared" si="11"/>
        <v>199</v>
      </c>
      <c r="BW46" s="146"/>
      <c r="BX46" s="146"/>
      <c r="BY46" s="146" t="str">
        <f t="shared" si="12"/>
        <v>No</v>
      </c>
      <c r="BZ46" s="146" t="str">
        <f t="shared" si="13"/>
        <v>No</v>
      </c>
      <c r="CA46" s="146" t="str">
        <f t="shared" si="14"/>
        <v>No</v>
      </c>
      <c r="CB46" s="146" t="str">
        <f t="shared" si="15"/>
        <v>No</v>
      </c>
      <c r="CC46" s="146" t="str">
        <f>_xlfn.IFNA(IF(INDEX(Producer!$P:$P,MATCH($D46,Producer!$A:$A,0))="Help to Buy","Only available","No"),"")</f>
        <v>No</v>
      </c>
      <c r="CD46" s="146" t="str">
        <f>_xlfn.IFNA(IF(INDEX(Producer!$P:$P,MATCH($D46,Producer!$A:$A,0))="Shared Ownership","Only available","No"),"")</f>
        <v>No</v>
      </c>
      <c r="CE46" s="146" t="str">
        <f>_xlfn.IFNA(IF(INDEX(Producer!$P:$P,MATCH($D46,Producer!$A:$A,0))="Right to Buy","Only available","No"),"")</f>
        <v>No</v>
      </c>
      <c r="CF46" s="146" t="str">
        <f t="shared" si="16"/>
        <v>No</v>
      </c>
      <c r="CG46" s="146" t="str">
        <f>_xlfn.IFNA(IF(INDEX(Producer!$P:$P,MATCH($D46,Producer!$A:$A,0))="Retirement Interest Only","Only available","No"),"")</f>
        <v>No</v>
      </c>
      <c r="CH46" s="146" t="str">
        <f t="shared" si="17"/>
        <v>No</v>
      </c>
      <c r="CI46" s="146" t="str">
        <f>_xlfn.IFNA(IF(INDEX(Producer!$P:$P,MATCH($D46,Producer!$A:$A,0))="Intermediary Holiday Let","Only available","No"),"")</f>
        <v>No</v>
      </c>
      <c r="CJ46" s="146" t="str">
        <f t="shared" si="18"/>
        <v>No</v>
      </c>
      <c r="CK46" s="146" t="str">
        <f>_xlfn.IFNA(IF(OR(INDEX(Producer!$P:$P,MATCH($D46,Producer!$A:$A,0))="Intermediary Small HMO",INDEX(Producer!$P:$P,MATCH($D46,Producer!$A:$A,0))="Intermediary Large HMO"),"Only available","No"),"")</f>
        <v>No</v>
      </c>
      <c r="CL46" s="146" t="str">
        <f t="shared" si="19"/>
        <v>Also available</v>
      </c>
      <c r="CM46" s="146" t="str">
        <f t="shared" si="20"/>
        <v>Only available</v>
      </c>
      <c r="CN46" s="146" t="str">
        <f t="shared" si="21"/>
        <v>No</v>
      </c>
      <c r="CO46" s="146" t="str">
        <f t="shared" si="22"/>
        <v>Also available</v>
      </c>
      <c r="CP46" s="146" t="str">
        <f t="shared" si="23"/>
        <v>No</v>
      </c>
      <c r="CQ46" s="146" t="str">
        <f t="shared" si="24"/>
        <v>No</v>
      </c>
      <c r="CR46" s="146" t="str">
        <f t="shared" si="25"/>
        <v>Also available</v>
      </c>
      <c r="CS46" s="146" t="str">
        <f t="shared" si="26"/>
        <v>Only available</v>
      </c>
      <c r="CT46" s="146" t="str">
        <f t="shared" si="27"/>
        <v>No</v>
      </c>
      <c r="CU46" s="146"/>
    </row>
    <row r="47" spans="1:99" ht="16.399999999999999" customHeight="1" x14ac:dyDescent="0.35">
      <c r="A47" s="145" t="str">
        <f t="shared" si="0"/>
        <v>Leeds Building Society</v>
      </c>
      <c r="B47" s="145" t="str">
        <f>_xlfn.IFNA(_xlfn.CONCAT(INDEX(Producer!$P:$P,MATCH($D47,Producer!$A:$A,0))," ",IF(INDEX(Producer!$N:$N,MATCH($D47,Producer!$A:$A,0))="Yes","Green ",""),IF(AND(INDEX(Producer!$L:$L,MATCH($D47,Producer!$A:$A,0))="No",INDEX(Producer!$C:$C,MATCH($D47,Producer!$A:$A,0))="Fixed"),"Flexit ",""),INDEX(Producer!$B:$B,MATCH($D47,Producer!$A:$A,0))," Year ",INDEX(Producer!$C:$C,MATCH($D47,Producer!$A:$A,0))," ",VALUE(INDEX(Producer!$E:$E,MATCH($D47,Producer!$A:$A,0)))*100,"% LTV",IF(INDEX(Producer!$N:$N,MATCH($D47,Producer!$A:$A,0))="Yes"," (EPC A-C)","")," - ",IF(INDEX(Producer!$D:$D,MATCH($D47,Producer!$A:$A,0))="DLY","Daily","Annual")),"")</f>
        <v>Intermediary Portfolio BTL 2 Year Fixed 125% LTV - Daily</v>
      </c>
      <c r="C47" s="146" t="str">
        <f>_xlfn.IFNA(INDEX(Producer!$Q:$Q,MATCH($D47,Producer!$A:$A,0)),"")</f>
        <v>BuyToLet</v>
      </c>
      <c r="D47" s="146">
        <f>IFERROR(VALUE(MID(Producer!$R$2,IF($D46="",1/0,FIND(_xlfn.CONCAT($D45,$D46),Producer!$R$2)+10),5)),"")</f>
        <v>54374</v>
      </c>
      <c r="E47" s="146" t="str">
        <f t="shared" si="1"/>
        <v>Stepped Fixed</v>
      </c>
      <c r="F47" s="146"/>
      <c r="G47" s="147">
        <f>_xlfn.IFNA(VALUE(INDEX(Producer!$F:$F,MATCH($D47,Producer!$A:$A,0)))*100,"")</f>
        <v>6.84</v>
      </c>
      <c r="H47" s="216">
        <f>_xlfn.IFNA(IFERROR(DATEVALUE(INDEX(Producer!$M:$M,MATCH($D47,Producer!$A:$A,0))),(INDEX(Producer!$M:$M,MATCH($D47,Producer!$A:$A,0)))),"")</f>
        <v>46418</v>
      </c>
      <c r="I47" s="217">
        <f>_xlfn.IFNA(VALUE(INDEX(Producer!$B:$B,MATCH($D47,Producer!$A:$A,0)))*12,"")</f>
        <v>24</v>
      </c>
      <c r="J47" s="146">
        <f>_xlfn.IFNA(IF(C47="Residential",IF(VALUE(INDEX(Producer!$B:$B,MATCH($D47,Producer!$A:$A,0)))&lt;5,Constants!$C$10,""),IF(VALUE(INDEX(Producer!$B:$B,MATCH($D47,Producer!$A:$A,0)))&lt;5,Constants!$C$11,"")),"")</f>
        <v>7.54</v>
      </c>
      <c r="K47" s="216">
        <f>_xlfn.IFNA(IF(($I47)&lt;60,DATE(YEAR(H47)+(5-VALUE(INDEX(Producer!$B:$B,MATCH($D47,Producer!$A:$A,0)))),MONTH(H47),DAY(H47)),""),"")</f>
        <v>47514</v>
      </c>
      <c r="L47" s="153">
        <f t="shared" si="2"/>
        <v>36</v>
      </c>
      <c r="M47" s="146"/>
      <c r="N47" s="148"/>
      <c r="O47" s="148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>
        <f>IF(D47="","",IF(C47="Residential",Constants!$B$10,Constants!$B$11))</f>
        <v>8.5399999999999991</v>
      </c>
      <c r="AL47" s="146" t="str">
        <f t="shared" si="3"/>
        <v>BVR</v>
      </c>
      <c r="AM47" s="206" t="str">
        <f t="shared" si="4"/>
        <v/>
      </c>
      <c r="AN47" s="146">
        <f t="shared" si="5"/>
        <v>10</v>
      </c>
      <c r="AO47" s="149" t="str">
        <f t="shared" si="6"/>
        <v>Remortgage</v>
      </c>
      <c r="AP47" s="150" t="str">
        <f t="shared" si="7"/>
        <v>ProductTransfer</v>
      </c>
      <c r="AQ47" s="146">
        <f>IFERROR(_xlfn.IFNA(IF($BA47="No",0,IF(INDEX(Constants!B:B,MATCH(($I47/12),Constants!$A:$A,0))=0,0,INDEX(Constants!B:B,MATCH(($I47/12),Constants!$A:$A,0)))),0),"")</f>
        <v>2.5</v>
      </c>
      <c r="AR47" s="146">
        <f>IFERROR(_xlfn.IFNA(IF($BA47="No",0,IF(INDEX(Constants!C:C,MATCH(($I47/12),Constants!$A:$A,0))=0,0,INDEX(Constants!C:C,MATCH(($I47/12),Constants!$A:$A,0)))),0),"")</f>
        <v>1.5</v>
      </c>
      <c r="AS47" s="146">
        <f>IFERROR(_xlfn.IFNA(IF($BA47="No",0,IF(INDEX(Constants!D:D,MATCH(($I47/12),Constants!$A:$A,0))=0,0,INDEX(Constants!D:D,MATCH(($I47/12),Constants!$A:$A,0)))),0),"")</f>
        <v>0</v>
      </c>
      <c r="AT47" s="146">
        <f>IFERROR(_xlfn.IFNA(IF($BA47="No",0,IF(INDEX(Constants!E:E,MATCH(($I47/12),Constants!$A:$A,0))=0,0,INDEX(Constants!E:E,MATCH(($I47/12),Constants!$A:$A,0)))),0),"")</f>
        <v>0</v>
      </c>
      <c r="AU47" s="146">
        <f>IFERROR(_xlfn.IFNA(IF($BA47="No",0,IF(INDEX(Constants!F:F,MATCH(($I47/12),Constants!$A:$A,0))=0,0,INDEX(Constants!F:F,MATCH(($I47/12),Constants!$A:$A,0)))),0),"")</f>
        <v>0</v>
      </c>
      <c r="AV47" s="146">
        <f>IFERROR(_xlfn.IFNA(IF($BA47="No",0,IF(INDEX(Constants!G:G,MATCH(($I47/12),Constants!$A:$A,0))=0,0,INDEX(Constants!G:G,MATCH(($I47/12),Constants!$A:$A,0)))),0),"")</f>
        <v>0</v>
      </c>
      <c r="AW47" s="146">
        <f>IFERROR(_xlfn.IFNA(IF($BA47="No",0,IF(INDEX(Constants!H:H,MATCH(($I47/12),Constants!$A:$A,0))=0,0,INDEX(Constants!H:H,MATCH(($I47/12),Constants!$A:$A,0)))),0),"")</f>
        <v>0</v>
      </c>
      <c r="AX47" s="146">
        <f>IFERROR(_xlfn.IFNA(IF($BA47="No",0,IF(INDEX(Constants!I:I,MATCH(($I47/12),Constants!$A:$A,0))=0,0,INDEX(Constants!I:I,MATCH(($I47/12),Constants!$A:$A,0)))),0),"")</f>
        <v>0</v>
      </c>
      <c r="AY47" s="146">
        <f>IFERROR(_xlfn.IFNA(IF($BA47="No",0,IF(INDEX(Constants!J:J,MATCH(($I47/12),Constants!$A:$A,0))=0,0,INDEX(Constants!J:J,MATCH(($I47/12),Constants!$A:$A,0)))),0),"")</f>
        <v>0</v>
      </c>
      <c r="AZ47" s="146">
        <f>IFERROR(_xlfn.IFNA(IF($BA47="No",0,IF(INDEX(Constants!K:K,MATCH(($I47/12),Constants!$A:$A,0))=0,0,INDEX(Constants!K:K,MATCH(($I47/12),Constants!$A:$A,0)))),0),"")</f>
        <v>0</v>
      </c>
      <c r="BA47" s="147" t="str">
        <f>_xlfn.IFNA(INDEX(Producer!$L:$L,MATCH($D47,Producer!$A:$A,0)),"")</f>
        <v>Yes</v>
      </c>
      <c r="BB47" s="146" t="str">
        <f>IFERROR(IF(AQ47=0,"",IF(($I47/12)=15,_xlfn.CONCAT(Constants!$N$7,TEXT(DATE(YEAR(H47)-(($I47/12)-3),MONTH(H47),DAY(H47)),"dd/mm/yyyy"),", ",Constants!$P$7,TEXT(DATE(YEAR(H47)-(($I47/12)-8),MONTH(H47),DAY(H47)),"dd/mm/yyyy"),", ",Constants!$T$7,TEXT(DATE(YEAR(H47)-(($I47/12)-11),MONTH(H47),DAY(H47)),"dd/mm/yyyy"),", ",Constants!$V$7,TEXT(DATE(YEAR(H47)-(($I47/12)-13),MONTH(H47),DAY(H47)),"dd/mm/yyyy"),", ",Constants!$W$7,TEXT($H47,"dd/mm/yyyy")),IF(($I47/12)=10,_xlfn.CONCAT(Constants!$N$6,TEXT(DATE(YEAR(H47)-(($I47/12)-2),MONTH(H47),DAY(H47)),"dd/mm/yyyy"),", ",Constants!$P$6,TEXT(DATE(YEAR(H47)-(($I47/12)-6),MONTH(H47),DAY(H47)),"dd/mm/yyyy"),", ",Constants!$T$6,TEXT(DATE(YEAR(H47)-(($I47/12)-8),MONTH(H47),DAY(H47)),"dd/mm/yyyy"),", ",Constants!$V$6,TEXT(DATE(YEAR(H47)-(($I47/12)-9),MONTH(H47),DAY(H47)),"dd/mm/yyyy"),", ",Constants!$W$6,TEXT($H47,"dd/mm/yyyy")),IF(($I47/12)=5,_xlfn.CONCAT(Constants!$N$5,TEXT(DATE(YEAR(H47)-(($I47/12)-1),MONTH(H47),DAY(H47)),"dd/mm/yyyy"),", ",Constants!$O$5,TEXT(DATE(YEAR(H47)-(($I47/12)-2),MONTH(H47),DAY(H47)),"dd/mm/yyyy"),", ",Constants!$P$5,TEXT(DATE(YEAR(H47)-(($I47/12)-3),MONTH(H47),DAY(H47)),"dd/mm/yyyy"),", ",Constants!$Q$5,TEXT(DATE(YEAR(H47)-(($I47/12)-4),MONTH(H47),DAY(H47)),"dd/mm/yyyy"),", ",Constants!$R$5,TEXT($H47,"dd/mm/yyyy")),IF(($I47/12)=3,_xlfn.CONCAT(Constants!$N$4,TEXT(DATE(YEAR(H47)-(($I47/12)-1),MONTH(H47),DAY(H47)),"dd/mm/yyyy"),", ",Constants!$O$4,TEXT(DATE(YEAR(H47)-(($I47/12)-2),MONTH(H47),DAY(H47)),"dd/mm/yyyy"),", ",Constants!$P$4,TEXT($H47,"dd/mm/yyyy")),IF(($I47/12)=2,_xlfn.CONCAT(Constants!$N$3,TEXT(DATE(YEAR(H47)-(($I47/12)-1),MONTH(H47),DAY(H47)),"dd/mm/yyyy"),", ",Constants!$O$3,TEXT($H47,"dd/mm/yyyy")),IF(($I47/12)=1,_xlfn.CONCAT(Constants!$N$2,TEXT($H47,"dd/mm/yyyy")),"Update Constants"))))))),"")</f>
        <v>2.5% to 31/01/2026, 1.5% to 31/01/2027</v>
      </c>
      <c r="BC47" s="147">
        <f>_xlfn.IFNA(VALUE(INDEX(Producer!$K:$K,MATCH($D47,Producer!$A:$A,0))),"")</f>
        <v>0</v>
      </c>
      <c r="BD47" s="147" t="str">
        <f>_xlfn.IFNA(INDEX(Producer!$I:$I,MATCH($D47,Producer!$A:$A,0)),"")</f>
        <v>No</v>
      </c>
      <c r="BE47" s="147" t="str">
        <f t="shared" si="8"/>
        <v>Yes</v>
      </c>
      <c r="BF47" s="147"/>
      <c r="BG47" s="147"/>
      <c r="BH47" s="151">
        <f>_xlfn.IFNA(INDEX(Constants!$B:$B,MATCH(BC47,Constants!A:A,0)),"")</f>
        <v>0</v>
      </c>
      <c r="BI47" s="147" t="str">
        <f>IF(LEFT(B47,15)="Limited Company",Constants!$D$16,IFERROR(_xlfn.IFNA(IF(C47="Residential",IF(BK47&lt;75,INDEX(Constants!$B:$B,MATCH(VALUE(60)/100,Constants!$A:$A,0)),INDEX(Constants!$B:$B,MATCH(VALUE(BK47)/100,Constants!$A:$A,0))),IF(BK47&lt;60,INDEX(Constants!$C:$C,MATCH(VALUE(60)/100,Constants!$A:$A,0)),INDEX(Constants!$C:$C,MATCH(VALUE(BK47)/100,Constants!$A:$A,0)))),""),""))</f>
        <v/>
      </c>
      <c r="BJ47" s="147">
        <f t="shared" si="9"/>
        <v>0</v>
      </c>
      <c r="BK47" s="147">
        <f>_xlfn.IFNA(VALUE(INDEX(Producer!$E:$E,MATCH($D47,Producer!$A:$A,0)))*100,"")</f>
        <v>125</v>
      </c>
      <c r="BL47" s="146" t="str">
        <f>_xlfn.IFNA(IF(IFERROR(FIND("Part &amp; Part",B47),-10)&gt;0,"PP",IF(OR(LEFT(B47,25)="Residential Interest Only",INDEX(Producer!$P:$P,MATCH($D47,Producer!$A:$A,0))="IO",INDEX(Producer!$P:$P,MATCH($D47,Producer!$A:$A,0))="Retirement Interest Only"),"IO",IF($C47="BuyToLet","CI, IO","CI"))),"")</f>
        <v>CI, IO</v>
      </c>
      <c r="BM47" s="152">
        <f>_xlfn.IFNA(IF(BL47="IO",100%,IF(AND(INDEX(Producer!$P:$P,MATCH($D47,Producer!$A:$A,0))="Residential Interest Only Part &amp; Part",BK47=75),80%,IF(C47="BuyToLet",100%,IF(BL47="Interest Only",100%,IF(AND(INDEX(Producer!$P:$P,MATCH($D47,Producer!$A:$A,0))="Residential Interest Only Part &amp; Part",BK47=60),100%,""))))),"")</f>
        <v>1</v>
      </c>
      <c r="BN47" s="218" t="str">
        <f>_xlfn.IFNA(IF(VALUE(INDEX(Producer!$H:$H,MATCH($D47,Producer!$A:$A,0)))=0,"",VALUE(INDEX(Producer!$H:$H,MATCH($D47,Producer!$A:$A,0)))),"")</f>
        <v/>
      </c>
      <c r="BO47" s="153"/>
      <c r="BP47" s="153"/>
      <c r="BQ47" s="219">
        <f t="shared" si="10"/>
        <v>35</v>
      </c>
      <c r="BR47" s="146"/>
      <c r="BS47" s="146"/>
      <c r="BT47" s="146"/>
      <c r="BU47" s="146"/>
      <c r="BV47" s="219">
        <f t="shared" si="11"/>
        <v>199</v>
      </c>
      <c r="BW47" s="146"/>
      <c r="BX47" s="146"/>
      <c r="BY47" s="146" t="str">
        <f t="shared" si="12"/>
        <v>No</v>
      </c>
      <c r="BZ47" s="146" t="str">
        <f t="shared" si="13"/>
        <v>No</v>
      </c>
      <c r="CA47" s="146" t="str">
        <f t="shared" si="14"/>
        <v>No</v>
      </c>
      <c r="CB47" s="146" t="str">
        <f t="shared" si="15"/>
        <v>No</v>
      </c>
      <c r="CC47" s="146" t="str">
        <f>_xlfn.IFNA(IF(INDEX(Producer!$P:$P,MATCH($D47,Producer!$A:$A,0))="Help to Buy","Only available","No"),"")</f>
        <v>No</v>
      </c>
      <c r="CD47" s="146" t="str">
        <f>_xlfn.IFNA(IF(INDEX(Producer!$P:$P,MATCH($D47,Producer!$A:$A,0))="Shared Ownership","Only available","No"),"")</f>
        <v>No</v>
      </c>
      <c r="CE47" s="146" t="str">
        <f>_xlfn.IFNA(IF(INDEX(Producer!$P:$P,MATCH($D47,Producer!$A:$A,0))="Right to Buy","Only available","No"),"")</f>
        <v>No</v>
      </c>
      <c r="CF47" s="146" t="str">
        <f t="shared" si="16"/>
        <v>No</v>
      </c>
      <c r="CG47" s="146" t="str">
        <f>_xlfn.IFNA(IF(INDEX(Producer!$P:$P,MATCH($D47,Producer!$A:$A,0))="Retirement Interest Only","Only available","No"),"")</f>
        <v>No</v>
      </c>
      <c r="CH47" s="146" t="str">
        <f t="shared" si="17"/>
        <v>No</v>
      </c>
      <c r="CI47" s="146" t="str">
        <f>_xlfn.IFNA(IF(INDEX(Producer!$P:$P,MATCH($D47,Producer!$A:$A,0))="Intermediary Holiday Let","Only available","No"),"")</f>
        <v>No</v>
      </c>
      <c r="CJ47" s="146" t="str">
        <f t="shared" si="18"/>
        <v>No</v>
      </c>
      <c r="CK47" s="146" t="str">
        <f>_xlfn.IFNA(IF(OR(INDEX(Producer!$P:$P,MATCH($D47,Producer!$A:$A,0))="Intermediary Small HMO",INDEX(Producer!$P:$P,MATCH($D47,Producer!$A:$A,0))="Intermediary Large HMO"),"Only available","No"),"")</f>
        <v>No</v>
      </c>
      <c r="CL47" s="146" t="str">
        <f t="shared" si="19"/>
        <v>Also available</v>
      </c>
      <c r="CM47" s="146" t="str">
        <f t="shared" si="20"/>
        <v>Only available</v>
      </c>
      <c r="CN47" s="146" t="str">
        <f t="shared" si="21"/>
        <v>No</v>
      </c>
      <c r="CO47" s="146" t="str">
        <f t="shared" si="22"/>
        <v>No</v>
      </c>
      <c r="CP47" s="146" t="str">
        <f t="shared" si="23"/>
        <v>No</v>
      </c>
      <c r="CQ47" s="146" t="str">
        <f t="shared" si="24"/>
        <v>No</v>
      </c>
      <c r="CR47" s="146" t="str">
        <f t="shared" si="25"/>
        <v>Also available</v>
      </c>
      <c r="CS47" s="146" t="str">
        <f t="shared" si="26"/>
        <v>Only available</v>
      </c>
      <c r="CT47" s="146" t="str">
        <f t="shared" si="27"/>
        <v>No</v>
      </c>
      <c r="CU47" s="146"/>
    </row>
    <row r="48" spans="1:99" ht="16.399999999999999" customHeight="1" x14ac:dyDescent="0.35">
      <c r="A48" s="145" t="str">
        <f t="shared" si="0"/>
        <v>Leeds Building Society</v>
      </c>
      <c r="B48" s="145" t="str">
        <f>_xlfn.IFNA(_xlfn.CONCAT(INDEX(Producer!$P:$P,MATCH($D48,Producer!$A:$A,0))," ",IF(INDEX(Producer!$N:$N,MATCH($D48,Producer!$A:$A,0))="Yes","Green ",""),IF(AND(INDEX(Producer!$L:$L,MATCH($D48,Producer!$A:$A,0))="No",INDEX(Producer!$C:$C,MATCH($D48,Producer!$A:$A,0))="Fixed"),"Flexit ",""),INDEX(Producer!$B:$B,MATCH($D48,Producer!$A:$A,0))," Year ",INDEX(Producer!$C:$C,MATCH($D48,Producer!$A:$A,0))," ",VALUE(INDEX(Producer!$E:$E,MATCH($D48,Producer!$A:$A,0)))*100,"% LTV",IF(INDEX(Producer!$N:$N,MATCH($D48,Producer!$A:$A,0))="Yes"," (EPC A-C)","")," - ",IF(INDEX(Producer!$D:$D,MATCH($D48,Producer!$A:$A,0))="DLY","Daily","Annual")),"")</f>
        <v>Intermediary Portfolio BTL 5 Year Fixed 60% LTV - Daily</v>
      </c>
      <c r="C48" s="146" t="str">
        <f>_xlfn.IFNA(INDEX(Producer!$Q:$Q,MATCH($D48,Producer!$A:$A,0)),"")</f>
        <v>BuyToLet</v>
      </c>
      <c r="D48" s="146">
        <f>IFERROR(VALUE(MID(Producer!$R$2,IF($D47="",1/0,FIND(_xlfn.CONCAT($D46,$D47),Producer!$R$2)+10),5)),"")</f>
        <v>54357</v>
      </c>
      <c r="E48" s="146" t="str">
        <f t="shared" si="1"/>
        <v>Fixed</v>
      </c>
      <c r="F48" s="146"/>
      <c r="G48" s="147">
        <f>_xlfn.IFNA(VALUE(INDEX(Producer!$F:$F,MATCH($D48,Producer!$A:$A,0)))*100,"")</f>
        <v>4.1900000000000004</v>
      </c>
      <c r="H48" s="216">
        <f>_xlfn.IFNA(IFERROR(DATEVALUE(INDEX(Producer!$M:$M,MATCH($D48,Producer!$A:$A,0))),(INDEX(Producer!$M:$M,MATCH($D48,Producer!$A:$A,0)))),"")</f>
        <v>47514</v>
      </c>
      <c r="I48" s="217">
        <f>_xlfn.IFNA(VALUE(INDEX(Producer!$B:$B,MATCH($D48,Producer!$A:$A,0)))*12,"")</f>
        <v>60</v>
      </c>
      <c r="J48" s="146" t="str">
        <f>_xlfn.IFNA(IF(C48="Residential",IF(VALUE(INDEX(Producer!$B:$B,MATCH($D48,Producer!$A:$A,0)))&lt;5,Constants!$C$10,""),IF(VALUE(INDEX(Producer!$B:$B,MATCH($D48,Producer!$A:$A,0)))&lt;5,Constants!$C$11,"")),"")</f>
        <v/>
      </c>
      <c r="K48" s="216" t="str">
        <f>_xlfn.IFNA(IF(($I48)&lt;60,DATE(YEAR(H48)+(5-VALUE(INDEX(Producer!$B:$B,MATCH($D48,Producer!$A:$A,0)))),MONTH(H48),DAY(H48)),""),"")</f>
        <v/>
      </c>
      <c r="L48" s="153" t="str">
        <f t="shared" si="2"/>
        <v/>
      </c>
      <c r="M48" s="146"/>
      <c r="N48" s="148"/>
      <c r="O48" s="148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>
        <f>IF(D48="","",IF(C48="Residential",Constants!$B$10,Constants!$B$11))</f>
        <v>8.5399999999999991</v>
      </c>
      <c r="AL48" s="146" t="str">
        <f t="shared" si="3"/>
        <v>BVR</v>
      </c>
      <c r="AM48" s="206" t="str">
        <f t="shared" si="4"/>
        <v/>
      </c>
      <c r="AN48" s="146">
        <f t="shared" si="5"/>
        <v>10</v>
      </c>
      <c r="AO48" s="149" t="str">
        <f t="shared" si="6"/>
        <v>Remortgage</v>
      </c>
      <c r="AP48" s="150" t="str">
        <f t="shared" si="7"/>
        <v>ProductTransfer</v>
      </c>
      <c r="AQ48" s="146">
        <f>IFERROR(_xlfn.IFNA(IF($BA48="No",0,IF(INDEX(Constants!B:B,MATCH(($I48/12),Constants!$A:$A,0))=0,0,INDEX(Constants!B:B,MATCH(($I48/12),Constants!$A:$A,0)))),0),"")</f>
        <v>5</v>
      </c>
      <c r="AR48" s="146">
        <f>IFERROR(_xlfn.IFNA(IF($BA48="No",0,IF(INDEX(Constants!C:C,MATCH(($I48/12),Constants!$A:$A,0))=0,0,INDEX(Constants!C:C,MATCH(($I48/12),Constants!$A:$A,0)))),0),"")</f>
        <v>5</v>
      </c>
      <c r="AS48" s="146">
        <f>IFERROR(_xlfn.IFNA(IF($BA48="No",0,IF(INDEX(Constants!D:D,MATCH(($I48/12),Constants!$A:$A,0))=0,0,INDEX(Constants!D:D,MATCH(($I48/12),Constants!$A:$A,0)))),0),"")</f>
        <v>4</v>
      </c>
      <c r="AT48" s="146">
        <f>IFERROR(_xlfn.IFNA(IF($BA48="No",0,IF(INDEX(Constants!E:E,MATCH(($I48/12),Constants!$A:$A,0))=0,0,INDEX(Constants!E:E,MATCH(($I48/12),Constants!$A:$A,0)))),0),"")</f>
        <v>3</v>
      </c>
      <c r="AU48" s="146">
        <f>IFERROR(_xlfn.IFNA(IF($BA48="No",0,IF(INDEX(Constants!F:F,MATCH(($I48/12),Constants!$A:$A,0))=0,0,INDEX(Constants!F:F,MATCH(($I48/12),Constants!$A:$A,0)))),0),"")</f>
        <v>2</v>
      </c>
      <c r="AV48" s="146">
        <f>IFERROR(_xlfn.IFNA(IF($BA48="No",0,IF(INDEX(Constants!G:G,MATCH(($I48/12),Constants!$A:$A,0))=0,0,INDEX(Constants!G:G,MATCH(($I48/12),Constants!$A:$A,0)))),0),"")</f>
        <v>0</v>
      </c>
      <c r="AW48" s="146">
        <f>IFERROR(_xlfn.IFNA(IF($BA48="No",0,IF(INDEX(Constants!H:H,MATCH(($I48/12),Constants!$A:$A,0))=0,0,INDEX(Constants!H:H,MATCH(($I48/12),Constants!$A:$A,0)))),0),"")</f>
        <v>0</v>
      </c>
      <c r="AX48" s="146">
        <f>IFERROR(_xlfn.IFNA(IF($BA48="No",0,IF(INDEX(Constants!I:I,MATCH(($I48/12),Constants!$A:$A,0))=0,0,INDEX(Constants!I:I,MATCH(($I48/12),Constants!$A:$A,0)))),0),"")</f>
        <v>0</v>
      </c>
      <c r="AY48" s="146">
        <f>IFERROR(_xlfn.IFNA(IF($BA48="No",0,IF(INDEX(Constants!J:J,MATCH(($I48/12),Constants!$A:$A,0))=0,0,INDEX(Constants!J:J,MATCH(($I48/12),Constants!$A:$A,0)))),0),"")</f>
        <v>0</v>
      </c>
      <c r="AZ48" s="146">
        <f>IFERROR(_xlfn.IFNA(IF($BA48="No",0,IF(INDEX(Constants!K:K,MATCH(($I48/12),Constants!$A:$A,0))=0,0,INDEX(Constants!K:K,MATCH(($I48/12),Constants!$A:$A,0)))),0),"")</f>
        <v>0</v>
      </c>
      <c r="BA48" s="147" t="str">
        <f>_xlfn.IFNA(INDEX(Producer!$L:$L,MATCH($D48,Producer!$A:$A,0)),"")</f>
        <v>Yes</v>
      </c>
      <c r="BB48" s="146" t="str">
        <f>IFERROR(IF(AQ48=0,"",IF(($I48/12)=15,_xlfn.CONCAT(Constants!$N$7,TEXT(DATE(YEAR(H48)-(($I48/12)-3),MONTH(H48),DAY(H48)),"dd/mm/yyyy"),", ",Constants!$P$7,TEXT(DATE(YEAR(H48)-(($I48/12)-8),MONTH(H48),DAY(H48)),"dd/mm/yyyy"),", ",Constants!$T$7,TEXT(DATE(YEAR(H48)-(($I48/12)-11),MONTH(H48),DAY(H48)),"dd/mm/yyyy"),", ",Constants!$V$7,TEXT(DATE(YEAR(H48)-(($I48/12)-13),MONTH(H48),DAY(H48)),"dd/mm/yyyy"),", ",Constants!$W$7,TEXT($H48,"dd/mm/yyyy")),IF(($I48/12)=10,_xlfn.CONCAT(Constants!$N$6,TEXT(DATE(YEAR(H48)-(($I48/12)-2),MONTH(H48),DAY(H48)),"dd/mm/yyyy"),", ",Constants!$P$6,TEXT(DATE(YEAR(H48)-(($I48/12)-6),MONTH(H48),DAY(H48)),"dd/mm/yyyy"),", ",Constants!$T$6,TEXT(DATE(YEAR(H48)-(($I48/12)-8),MONTH(H48),DAY(H48)),"dd/mm/yyyy"),", ",Constants!$V$6,TEXT(DATE(YEAR(H48)-(($I48/12)-9),MONTH(H48),DAY(H48)),"dd/mm/yyyy"),", ",Constants!$W$6,TEXT($H48,"dd/mm/yyyy")),IF(($I48/12)=5,_xlfn.CONCAT(Constants!$N$5,TEXT(DATE(YEAR(H48)-(($I48/12)-1),MONTH(H48),DAY(H48)),"dd/mm/yyyy"),", ",Constants!$O$5,TEXT(DATE(YEAR(H48)-(($I48/12)-2),MONTH(H48),DAY(H48)),"dd/mm/yyyy"),", ",Constants!$P$5,TEXT(DATE(YEAR(H48)-(($I48/12)-3),MONTH(H48),DAY(H48)),"dd/mm/yyyy"),", ",Constants!$Q$5,TEXT(DATE(YEAR(H48)-(($I48/12)-4),MONTH(H48),DAY(H48)),"dd/mm/yyyy"),", ",Constants!$R$5,TEXT($H48,"dd/mm/yyyy")),IF(($I48/12)=3,_xlfn.CONCAT(Constants!$N$4,TEXT(DATE(YEAR(H48)-(($I48/12)-1),MONTH(H48),DAY(H48)),"dd/mm/yyyy"),", ",Constants!$O$4,TEXT(DATE(YEAR(H48)-(($I48/12)-2),MONTH(H48),DAY(H48)),"dd/mm/yyyy"),", ",Constants!$P$4,TEXT($H48,"dd/mm/yyyy")),IF(($I48/12)=2,_xlfn.CONCAT(Constants!$N$3,TEXT(DATE(YEAR(H48)-(($I48/12)-1),MONTH(H48),DAY(H48)),"dd/mm/yyyy"),", ",Constants!$O$3,TEXT($H48,"dd/mm/yyyy")),IF(($I48/12)=1,_xlfn.CONCAT(Constants!$N$2,TEXT($H48,"dd/mm/yyyy")),"Update Constants"))))))),"")</f>
        <v>5% to 31/01/2026, 5% to 31/01/2027, 4% to 31/01/2028, 3% to 31/01/2029, 2% to 31/01/2030</v>
      </c>
      <c r="BC48" s="147">
        <f>_xlfn.IFNA(VALUE(INDEX(Producer!$K:$K,MATCH($D48,Producer!$A:$A,0))),"")</f>
        <v>0</v>
      </c>
      <c r="BD48" s="147" t="str">
        <f>_xlfn.IFNA(INDEX(Producer!$I:$I,MATCH($D48,Producer!$A:$A,0)),"")</f>
        <v>No</v>
      </c>
      <c r="BE48" s="147" t="str">
        <f t="shared" si="8"/>
        <v>Yes</v>
      </c>
      <c r="BF48" s="147"/>
      <c r="BG48" s="147"/>
      <c r="BH48" s="151">
        <f>_xlfn.IFNA(INDEX(Constants!$B:$B,MATCH(BC48,Constants!A:A,0)),"")</f>
        <v>0</v>
      </c>
      <c r="BI48" s="147">
        <f>IF(LEFT(B48,15)="Limited Company",Constants!$D$16,IFERROR(_xlfn.IFNA(IF(C48="Residential",IF(BK48&lt;75,INDEX(Constants!$B:$B,MATCH(VALUE(60)/100,Constants!$A:$A,0)),INDEX(Constants!$B:$B,MATCH(VALUE(BK48)/100,Constants!$A:$A,0))),IF(BK48&lt;60,INDEX(Constants!$C:$C,MATCH(VALUE(60)/100,Constants!$A:$A,0)),INDEX(Constants!$C:$C,MATCH(VALUE(BK48)/100,Constants!$A:$A,0)))),""),""))</f>
        <v>1000000</v>
      </c>
      <c r="BJ48" s="147">
        <f t="shared" si="9"/>
        <v>0</v>
      </c>
      <c r="BK48" s="147">
        <f>_xlfn.IFNA(VALUE(INDEX(Producer!$E:$E,MATCH($D48,Producer!$A:$A,0)))*100,"")</f>
        <v>60</v>
      </c>
      <c r="BL48" s="146" t="str">
        <f>_xlfn.IFNA(IF(IFERROR(FIND("Part &amp; Part",B48),-10)&gt;0,"PP",IF(OR(LEFT(B48,25)="Residential Interest Only",INDEX(Producer!$P:$P,MATCH($D48,Producer!$A:$A,0))="IO",INDEX(Producer!$P:$P,MATCH($D48,Producer!$A:$A,0))="Retirement Interest Only"),"IO",IF($C48="BuyToLet","CI, IO","CI"))),"")</f>
        <v>CI, IO</v>
      </c>
      <c r="BM48" s="152">
        <f>_xlfn.IFNA(IF(BL48="IO",100%,IF(AND(INDEX(Producer!$P:$P,MATCH($D48,Producer!$A:$A,0))="Residential Interest Only Part &amp; Part",BK48=75),80%,IF(C48="BuyToLet",100%,IF(BL48="Interest Only",100%,IF(AND(INDEX(Producer!$P:$P,MATCH($D48,Producer!$A:$A,0))="Residential Interest Only Part &amp; Part",BK48=60),100%,""))))),"")</f>
        <v>1</v>
      </c>
      <c r="BN48" s="218">
        <f>_xlfn.IFNA(IF(VALUE(INDEX(Producer!$H:$H,MATCH($D48,Producer!$A:$A,0)))=0,"",VALUE(INDEX(Producer!$H:$H,MATCH($D48,Producer!$A:$A,0)))),"")</f>
        <v>999</v>
      </c>
      <c r="BO48" s="153"/>
      <c r="BP48" s="153"/>
      <c r="BQ48" s="219">
        <f t="shared" si="10"/>
        <v>35</v>
      </c>
      <c r="BR48" s="146"/>
      <c r="BS48" s="146"/>
      <c r="BT48" s="146"/>
      <c r="BU48" s="146"/>
      <c r="BV48" s="219">
        <f t="shared" si="11"/>
        <v>199</v>
      </c>
      <c r="BW48" s="146"/>
      <c r="BX48" s="146"/>
      <c r="BY48" s="146" t="str">
        <f t="shared" si="12"/>
        <v>No</v>
      </c>
      <c r="BZ48" s="146" t="str">
        <f t="shared" si="13"/>
        <v>No</v>
      </c>
      <c r="CA48" s="146" t="str">
        <f t="shared" si="14"/>
        <v>No</v>
      </c>
      <c r="CB48" s="146" t="str">
        <f t="shared" si="15"/>
        <v>No</v>
      </c>
      <c r="CC48" s="146" t="str">
        <f>_xlfn.IFNA(IF(INDEX(Producer!$P:$P,MATCH($D48,Producer!$A:$A,0))="Help to Buy","Only available","No"),"")</f>
        <v>No</v>
      </c>
      <c r="CD48" s="146" t="str">
        <f>_xlfn.IFNA(IF(INDEX(Producer!$P:$P,MATCH($D48,Producer!$A:$A,0))="Shared Ownership","Only available","No"),"")</f>
        <v>No</v>
      </c>
      <c r="CE48" s="146" t="str">
        <f>_xlfn.IFNA(IF(INDEX(Producer!$P:$P,MATCH($D48,Producer!$A:$A,0))="Right to Buy","Only available","No"),"")</f>
        <v>No</v>
      </c>
      <c r="CF48" s="146" t="str">
        <f t="shared" si="16"/>
        <v>No</v>
      </c>
      <c r="CG48" s="146" t="str">
        <f>_xlfn.IFNA(IF(INDEX(Producer!$P:$P,MATCH($D48,Producer!$A:$A,0))="Retirement Interest Only","Only available","No"),"")</f>
        <v>No</v>
      </c>
      <c r="CH48" s="146" t="str">
        <f t="shared" si="17"/>
        <v>No</v>
      </c>
      <c r="CI48" s="146" t="str">
        <f>_xlfn.IFNA(IF(INDEX(Producer!$P:$P,MATCH($D48,Producer!$A:$A,0))="Intermediary Holiday Let","Only available","No"),"")</f>
        <v>No</v>
      </c>
      <c r="CJ48" s="146" t="str">
        <f t="shared" si="18"/>
        <v>No</v>
      </c>
      <c r="CK48" s="146" t="str">
        <f>_xlfn.IFNA(IF(OR(INDEX(Producer!$P:$P,MATCH($D48,Producer!$A:$A,0))="Intermediary Small HMO",INDEX(Producer!$P:$P,MATCH($D48,Producer!$A:$A,0))="Intermediary Large HMO"),"Only available","No"),"")</f>
        <v>No</v>
      </c>
      <c r="CL48" s="146" t="str">
        <f t="shared" si="19"/>
        <v>Also available</v>
      </c>
      <c r="CM48" s="146" t="str">
        <f t="shared" si="20"/>
        <v>Only available</v>
      </c>
      <c r="CN48" s="146" t="str">
        <f t="shared" si="21"/>
        <v>No</v>
      </c>
      <c r="CO48" s="146" t="str">
        <f t="shared" si="22"/>
        <v>Also available</v>
      </c>
      <c r="CP48" s="146" t="str">
        <f t="shared" si="23"/>
        <v>No</v>
      </c>
      <c r="CQ48" s="146" t="str">
        <f t="shared" si="24"/>
        <v>No</v>
      </c>
      <c r="CR48" s="146" t="str">
        <f t="shared" si="25"/>
        <v>Also available</v>
      </c>
      <c r="CS48" s="146" t="str">
        <f t="shared" si="26"/>
        <v>Only available</v>
      </c>
      <c r="CT48" s="146" t="str">
        <f t="shared" si="27"/>
        <v>No</v>
      </c>
      <c r="CU48" s="146"/>
    </row>
    <row r="49" spans="1:99" ht="16.399999999999999" customHeight="1" x14ac:dyDescent="0.35">
      <c r="A49" s="145" t="str">
        <f t="shared" si="0"/>
        <v>Leeds Building Society</v>
      </c>
      <c r="B49" s="145" t="str">
        <f>_xlfn.IFNA(_xlfn.CONCAT(INDEX(Producer!$P:$P,MATCH($D49,Producer!$A:$A,0))," ",IF(INDEX(Producer!$N:$N,MATCH($D49,Producer!$A:$A,0))="Yes","Green ",""),IF(AND(INDEX(Producer!$L:$L,MATCH($D49,Producer!$A:$A,0))="No",INDEX(Producer!$C:$C,MATCH($D49,Producer!$A:$A,0))="Fixed"),"Flexit ",""),INDEX(Producer!$B:$B,MATCH($D49,Producer!$A:$A,0))," Year ",INDEX(Producer!$C:$C,MATCH($D49,Producer!$A:$A,0))," ",VALUE(INDEX(Producer!$E:$E,MATCH($D49,Producer!$A:$A,0)))*100,"% LTV",IF(INDEX(Producer!$N:$N,MATCH($D49,Producer!$A:$A,0))="Yes"," (EPC A-C)","")," - ",IF(INDEX(Producer!$D:$D,MATCH($D49,Producer!$A:$A,0))="DLY","Daily","Annual")),"")</f>
        <v>Intermediary Portfolio BTL 5 Year Fixed 60% LTV - Daily</v>
      </c>
      <c r="C49" s="146" t="str">
        <f>_xlfn.IFNA(INDEX(Producer!$Q:$Q,MATCH($D49,Producer!$A:$A,0)),"")</f>
        <v>BuyToLet</v>
      </c>
      <c r="D49" s="146">
        <f>IFERROR(VALUE(MID(Producer!$R$2,IF($D48="",1/0,FIND(_xlfn.CONCAT($D47,$D48),Producer!$R$2)+10),5)),"")</f>
        <v>54371</v>
      </c>
      <c r="E49" s="146" t="str">
        <f t="shared" si="1"/>
        <v>Fixed</v>
      </c>
      <c r="F49" s="146"/>
      <c r="G49" s="147">
        <f>_xlfn.IFNA(VALUE(INDEX(Producer!$F:$F,MATCH($D49,Producer!$A:$A,0)))*100,"")</f>
        <v>4.38</v>
      </c>
      <c r="H49" s="216">
        <f>_xlfn.IFNA(IFERROR(DATEVALUE(INDEX(Producer!$M:$M,MATCH($D49,Producer!$A:$A,0))),(INDEX(Producer!$M:$M,MATCH($D49,Producer!$A:$A,0)))),"")</f>
        <v>47514</v>
      </c>
      <c r="I49" s="217">
        <f>_xlfn.IFNA(VALUE(INDEX(Producer!$B:$B,MATCH($D49,Producer!$A:$A,0)))*12,"")</f>
        <v>60</v>
      </c>
      <c r="J49" s="146" t="str">
        <f>_xlfn.IFNA(IF(C49="Residential",IF(VALUE(INDEX(Producer!$B:$B,MATCH($D49,Producer!$A:$A,0)))&lt;5,Constants!$C$10,""),IF(VALUE(INDEX(Producer!$B:$B,MATCH($D49,Producer!$A:$A,0)))&lt;5,Constants!$C$11,"")),"")</f>
        <v/>
      </c>
      <c r="K49" s="216" t="str">
        <f>_xlfn.IFNA(IF(($I49)&lt;60,DATE(YEAR(H49)+(5-VALUE(INDEX(Producer!$B:$B,MATCH($D49,Producer!$A:$A,0)))),MONTH(H49),DAY(H49)),""),"")</f>
        <v/>
      </c>
      <c r="L49" s="153" t="str">
        <f t="shared" si="2"/>
        <v/>
      </c>
      <c r="M49" s="146"/>
      <c r="N49" s="148"/>
      <c r="O49" s="148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>
        <f>IF(D49="","",IF(C49="Residential",Constants!$B$10,Constants!$B$11))</f>
        <v>8.5399999999999991</v>
      </c>
      <c r="AL49" s="146" t="str">
        <f t="shared" si="3"/>
        <v>BVR</v>
      </c>
      <c r="AM49" s="206" t="str">
        <f t="shared" si="4"/>
        <v/>
      </c>
      <c r="AN49" s="146">
        <f t="shared" si="5"/>
        <v>10</v>
      </c>
      <c r="AO49" s="149" t="str">
        <f t="shared" si="6"/>
        <v>Remortgage</v>
      </c>
      <c r="AP49" s="150" t="str">
        <f t="shared" si="7"/>
        <v>ProductTransfer</v>
      </c>
      <c r="AQ49" s="146">
        <f>IFERROR(_xlfn.IFNA(IF($BA49="No",0,IF(INDEX(Constants!B:B,MATCH(($I49/12),Constants!$A:$A,0))=0,0,INDEX(Constants!B:B,MATCH(($I49/12),Constants!$A:$A,0)))),0),"")</f>
        <v>5</v>
      </c>
      <c r="AR49" s="146">
        <f>IFERROR(_xlfn.IFNA(IF($BA49="No",0,IF(INDEX(Constants!C:C,MATCH(($I49/12),Constants!$A:$A,0))=0,0,INDEX(Constants!C:C,MATCH(($I49/12),Constants!$A:$A,0)))),0),"")</f>
        <v>5</v>
      </c>
      <c r="AS49" s="146">
        <f>IFERROR(_xlfn.IFNA(IF($BA49="No",0,IF(INDEX(Constants!D:D,MATCH(($I49/12),Constants!$A:$A,0))=0,0,INDEX(Constants!D:D,MATCH(($I49/12),Constants!$A:$A,0)))),0),"")</f>
        <v>4</v>
      </c>
      <c r="AT49" s="146">
        <f>IFERROR(_xlfn.IFNA(IF($BA49="No",0,IF(INDEX(Constants!E:E,MATCH(($I49/12),Constants!$A:$A,0))=0,0,INDEX(Constants!E:E,MATCH(($I49/12),Constants!$A:$A,0)))),0),"")</f>
        <v>3</v>
      </c>
      <c r="AU49" s="146">
        <f>IFERROR(_xlfn.IFNA(IF($BA49="No",0,IF(INDEX(Constants!F:F,MATCH(($I49/12),Constants!$A:$A,0))=0,0,INDEX(Constants!F:F,MATCH(($I49/12),Constants!$A:$A,0)))),0),"")</f>
        <v>2</v>
      </c>
      <c r="AV49" s="146">
        <f>IFERROR(_xlfn.IFNA(IF($BA49="No",0,IF(INDEX(Constants!G:G,MATCH(($I49/12),Constants!$A:$A,0))=0,0,INDEX(Constants!G:G,MATCH(($I49/12),Constants!$A:$A,0)))),0),"")</f>
        <v>0</v>
      </c>
      <c r="AW49" s="146">
        <f>IFERROR(_xlfn.IFNA(IF($BA49="No",0,IF(INDEX(Constants!H:H,MATCH(($I49/12),Constants!$A:$A,0))=0,0,INDEX(Constants!H:H,MATCH(($I49/12),Constants!$A:$A,0)))),0),"")</f>
        <v>0</v>
      </c>
      <c r="AX49" s="146">
        <f>IFERROR(_xlfn.IFNA(IF($BA49="No",0,IF(INDEX(Constants!I:I,MATCH(($I49/12),Constants!$A:$A,0))=0,0,INDEX(Constants!I:I,MATCH(($I49/12),Constants!$A:$A,0)))),0),"")</f>
        <v>0</v>
      </c>
      <c r="AY49" s="146">
        <f>IFERROR(_xlfn.IFNA(IF($BA49="No",0,IF(INDEX(Constants!J:J,MATCH(($I49/12),Constants!$A:$A,0))=0,0,INDEX(Constants!J:J,MATCH(($I49/12),Constants!$A:$A,0)))),0),"")</f>
        <v>0</v>
      </c>
      <c r="AZ49" s="146">
        <f>IFERROR(_xlfn.IFNA(IF($BA49="No",0,IF(INDEX(Constants!K:K,MATCH(($I49/12),Constants!$A:$A,0))=0,0,INDEX(Constants!K:K,MATCH(($I49/12),Constants!$A:$A,0)))),0),"")</f>
        <v>0</v>
      </c>
      <c r="BA49" s="147" t="str">
        <f>_xlfn.IFNA(INDEX(Producer!$L:$L,MATCH($D49,Producer!$A:$A,0)),"")</f>
        <v>Yes</v>
      </c>
      <c r="BB49" s="146" t="str">
        <f>IFERROR(IF(AQ49=0,"",IF(($I49/12)=15,_xlfn.CONCAT(Constants!$N$7,TEXT(DATE(YEAR(H49)-(($I49/12)-3),MONTH(H49),DAY(H49)),"dd/mm/yyyy"),", ",Constants!$P$7,TEXT(DATE(YEAR(H49)-(($I49/12)-8),MONTH(H49),DAY(H49)),"dd/mm/yyyy"),", ",Constants!$T$7,TEXT(DATE(YEAR(H49)-(($I49/12)-11),MONTH(H49),DAY(H49)),"dd/mm/yyyy"),", ",Constants!$V$7,TEXT(DATE(YEAR(H49)-(($I49/12)-13),MONTH(H49),DAY(H49)),"dd/mm/yyyy"),", ",Constants!$W$7,TEXT($H49,"dd/mm/yyyy")),IF(($I49/12)=10,_xlfn.CONCAT(Constants!$N$6,TEXT(DATE(YEAR(H49)-(($I49/12)-2),MONTH(H49),DAY(H49)),"dd/mm/yyyy"),", ",Constants!$P$6,TEXT(DATE(YEAR(H49)-(($I49/12)-6),MONTH(H49),DAY(H49)),"dd/mm/yyyy"),", ",Constants!$T$6,TEXT(DATE(YEAR(H49)-(($I49/12)-8),MONTH(H49),DAY(H49)),"dd/mm/yyyy"),", ",Constants!$V$6,TEXT(DATE(YEAR(H49)-(($I49/12)-9),MONTH(H49),DAY(H49)),"dd/mm/yyyy"),", ",Constants!$W$6,TEXT($H49,"dd/mm/yyyy")),IF(($I49/12)=5,_xlfn.CONCAT(Constants!$N$5,TEXT(DATE(YEAR(H49)-(($I49/12)-1),MONTH(H49),DAY(H49)),"dd/mm/yyyy"),", ",Constants!$O$5,TEXT(DATE(YEAR(H49)-(($I49/12)-2),MONTH(H49),DAY(H49)),"dd/mm/yyyy"),", ",Constants!$P$5,TEXT(DATE(YEAR(H49)-(($I49/12)-3),MONTH(H49),DAY(H49)),"dd/mm/yyyy"),", ",Constants!$Q$5,TEXT(DATE(YEAR(H49)-(($I49/12)-4),MONTH(H49),DAY(H49)),"dd/mm/yyyy"),", ",Constants!$R$5,TEXT($H49,"dd/mm/yyyy")),IF(($I49/12)=3,_xlfn.CONCAT(Constants!$N$4,TEXT(DATE(YEAR(H49)-(($I49/12)-1),MONTH(H49),DAY(H49)),"dd/mm/yyyy"),", ",Constants!$O$4,TEXT(DATE(YEAR(H49)-(($I49/12)-2),MONTH(H49),DAY(H49)),"dd/mm/yyyy"),", ",Constants!$P$4,TEXT($H49,"dd/mm/yyyy")),IF(($I49/12)=2,_xlfn.CONCAT(Constants!$N$3,TEXT(DATE(YEAR(H49)-(($I49/12)-1),MONTH(H49),DAY(H49)),"dd/mm/yyyy"),", ",Constants!$O$3,TEXT($H49,"dd/mm/yyyy")),IF(($I49/12)=1,_xlfn.CONCAT(Constants!$N$2,TEXT($H49,"dd/mm/yyyy")),"Update Constants"))))))),"")</f>
        <v>5% to 31/01/2026, 5% to 31/01/2027, 4% to 31/01/2028, 3% to 31/01/2029, 2% to 31/01/2030</v>
      </c>
      <c r="BC49" s="147">
        <f>_xlfn.IFNA(VALUE(INDEX(Producer!$K:$K,MATCH($D49,Producer!$A:$A,0))),"")</f>
        <v>0</v>
      </c>
      <c r="BD49" s="147" t="str">
        <f>_xlfn.IFNA(INDEX(Producer!$I:$I,MATCH($D49,Producer!$A:$A,0)),"")</f>
        <v>No</v>
      </c>
      <c r="BE49" s="147" t="str">
        <f t="shared" si="8"/>
        <v>Yes</v>
      </c>
      <c r="BF49" s="147"/>
      <c r="BG49" s="147"/>
      <c r="BH49" s="151">
        <f>_xlfn.IFNA(INDEX(Constants!$B:$B,MATCH(BC49,Constants!A:A,0)),"")</f>
        <v>0</v>
      </c>
      <c r="BI49" s="147">
        <f>IF(LEFT(B49,15)="Limited Company",Constants!$D$16,IFERROR(_xlfn.IFNA(IF(C49="Residential",IF(BK49&lt;75,INDEX(Constants!$B:$B,MATCH(VALUE(60)/100,Constants!$A:$A,0)),INDEX(Constants!$B:$B,MATCH(VALUE(BK49)/100,Constants!$A:$A,0))),IF(BK49&lt;60,INDEX(Constants!$C:$C,MATCH(VALUE(60)/100,Constants!$A:$A,0)),INDEX(Constants!$C:$C,MATCH(VALUE(BK49)/100,Constants!$A:$A,0)))),""),""))</f>
        <v>1000000</v>
      </c>
      <c r="BJ49" s="147">
        <f t="shared" si="9"/>
        <v>0</v>
      </c>
      <c r="BK49" s="147">
        <f>_xlfn.IFNA(VALUE(INDEX(Producer!$E:$E,MATCH($D49,Producer!$A:$A,0)))*100,"")</f>
        <v>60</v>
      </c>
      <c r="BL49" s="146" t="str">
        <f>_xlfn.IFNA(IF(IFERROR(FIND("Part &amp; Part",B49),-10)&gt;0,"PP",IF(OR(LEFT(B49,25)="Residential Interest Only",INDEX(Producer!$P:$P,MATCH($D49,Producer!$A:$A,0))="IO",INDEX(Producer!$P:$P,MATCH($D49,Producer!$A:$A,0))="Retirement Interest Only"),"IO",IF($C49="BuyToLet","CI, IO","CI"))),"")</f>
        <v>CI, IO</v>
      </c>
      <c r="BM49" s="152">
        <f>_xlfn.IFNA(IF(BL49="IO",100%,IF(AND(INDEX(Producer!$P:$P,MATCH($D49,Producer!$A:$A,0))="Residential Interest Only Part &amp; Part",BK49=75),80%,IF(C49="BuyToLet",100%,IF(BL49="Interest Only",100%,IF(AND(INDEX(Producer!$P:$P,MATCH($D49,Producer!$A:$A,0))="Residential Interest Only Part &amp; Part",BK49=60),100%,""))))),"")</f>
        <v>1</v>
      </c>
      <c r="BN49" s="218" t="str">
        <f>_xlfn.IFNA(IF(VALUE(INDEX(Producer!$H:$H,MATCH($D49,Producer!$A:$A,0)))=0,"",VALUE(INDEX(Producer!$H:$H,MATCH($D49,Producer!$A:$A,0)))),"")</f>
        <v/>
      </c>
      <c r="BO49" s="153"/>
      <c r="BP49" s="153"/>
      <c r="BQ49" s="219">
        <f t="shared" si="10"/>
        <v>35</v>
      </c>
      <c r="BR49" s="146"/>
      <c r="BS49" s="146"/>
      <c r="BT49" s="146"/>
      <c r="BU49" s="146"/>
      <c r="BV49" s="219">
        <f t="shared" si="11"/>
        <v>199</v>
      </c>
      <c r="BW49" s="146"/>
      <c r="BX49" s="146"/>
      <c r="BY49" s="146" t="str">
        <f t="shared" si="12"/>
        <v>No</v>
      </c>
      <c r="BZ49" s="146" t="str">
        <f t="shared" si="13"/>
        <v>No</v>
      </c>
      <c r="CA49" s="146" t="str">
        <f t="shared" si="14"/>
        <v>No</v>
      </c>
      <c r="CB49" s="146" t="str">
        <f t="shared" si="15"/>
        <v>No</v>
      </c>
      <c r="CC49" s="146" t="str">
        <f>_xlfn.IFNA(IF(INDEX(Producer!$P:$P,MATCH($D49,Producer!$A:$A,0))="Help to Buy","Only available","No"),"")</f>
        <v>No</v>
      </c>
      <c r="CD49" s="146" t="str">
        <f>_xlfn.IFNA(IF(INDEX(Producer!$P:$P,MATCH($D49,Producer!$A:$A,0))="Shared Ownership","Only available","No"),"")</f>
        <v>No</v>
      </c>
      <c r="CE49" s="146" t="str">
        <f>_xlfn.IFNA(IF(INDEX(Producer!$P:$P,MATCH($D49,Producer!$A:$A,0))="Right to Buy","Only available","No"),"")</f>
        <v>No</v>
      </c>
      <c r="CF49" s="146" t="str">
        <f t="shared" si="16"/>
        <v>No</v>
      </c>
      <c r="CG49" s="146" t="str">
        <f>_xlfn.IFNA(IF(INDEX(Producer!$P:$P,MATCH($D49,Producer!$A:$A,0))="Retirement Interest Only","Only available","No"),"")</f>
        <v>No</v>
      </c>
      <c r="CH49" s="146" t="str">
        <f t="shared" si="17"/>
        <v>No</v>
      </c>
      <c r="CI49" s="146" t="str">
        <f>_xlfn.IFNA(IF(INDEX(Producer!$P:$P,MATCH($D49,Producer!$A:$A,0))="Intermediary Holiday Let","Only available","No"),"")</f>
        <v>No</v>
      </c>
      <c r="CJ49" s="146" t="str">
        <f t="shared" si="18"/>
        <v>No</v>
      </c>
      <c r="CK49" s="146" t="str">
        <f>_xlfn.IFNA(IF(OR(INDEX(Producer!$P:$P,MATCH($D49,Producer!$A:$A,0))="Intermediary Small HMO",INDEX(Producer!$P:$P,MATCH($D49,Producer!$A:$A,0))="Intermediary Large HMO"),"Only available","No"),"")</f>
        <v>No</v>
      </c>
      <c r="CL49" s="146" t="str">
        <f t="shared" si="19"/>
        <v>Also available</v>
      </c>
      <c r="CM49" s="146" t="str">
        <f t="shared" si="20"/>
        <v>Only available</v>
      </c>
      <c r="CN49" s="146" t="str">
        <f t="shared" si="21"/>
        <v>No</v>
      </c>
      <c r="CO49" s="146" t="str">
        <f t="shared" si="22"/>
        <v>Also available</v>
      </c>
      <c r="CP49" s="146" t="str">
        <f t="shared" si="23"/>
        <v>No</v>
      </c>
      <c r="CQ49" s="146" t="str">
        <f t="shared" si="24"/>
        <v>No</v>
      </c>
      <c r="CR49" s="146" t="str">
        <f t="shared" si="25"/>
        <v>Also available</v>
      </c>
      <c r="CS49" s="146" t="str">
        <f t="shared" si="26"/>
        <v>Only available</v>
      </c>
      <c r="CT49" s="146" t="str">
        <f t="shared" si="27"/>
        <v>No</v>
      </c>
      <c r="CU49" s="146"/>
    </row>
    <row r="50" spans="1:99" ht="16.399999999999999" customHeight="1" x14ac:dyDescent="0.35">
      <c r="A50" s="145" t="str">
        <f t="shared" si="0"/>
        <v>Leeds Building Society</v>
      </c>
      <c r="B50" s="145" t="str">
        <f>_xlfn.IFNA(_xlfn.CONCAT(INDEX(Producer!$P:$P,MATCH($D50,Producer!$A:$A,0))," ",IF(INDEX(Producer!$N:$N,MATCH($D50,Producer!$A:$A,0))="Yes","Green ",""),IF(AND(INDEX(Producer!$L:$L,MATCH($D50,Producer!$A:$A,0))="No",INDEX(Producer!$C:$C,MATCH($D50,Producer!$A:$A,0))="Fixed"),"Flexit ",""),INDEX(Producer!$B:$B,MATCH($D50,Producer!$A:$A,0))," Year ",INDEX(Producer!$C:$C,MATCH($D50,Producer!$A:$A,0))," ",VALUE(INDEX(Producer!$E:$E,MATCH($D50,Producer!$A:$A,0)))*100,"% LTV",IF(INDEX(Producer!$N:$N,MATCH($D50,Producer!$A:$A,0))="Yes"," (EPC A-C)","")," - ",IF(INDEX(Producer!$D:$D,MATCH($D50,Producer!$A:$A,0))="DLY","Daily","Annual")),"")</f>
        <v>Intermediary Portfolio BTL 5 Year Fixed 75% LTV - Daily</v>
      </c>
      <c r="C50" s="146" t="str">
        <f>_xlfn.IFNA(INDEX(Producer!$Q:$Q,MATCH($D50,Producer!$A:$A,0)),"")</f>
        <v>BuyToLet</v>
      </c>
      <c r="D50" s="146">
        <f>IFERROR(VALUE(MID(Producer!$R$2,IF($D49="",1/0,FIND(_xlfn.CONCAT($D48,$D49),Producer!$R$2)+10),5)),"")</f>
        <v>54356</v>
      </c>
      <c r="E50" s="146" t="str">
        <f t="shared" si="1"/>
        <v>Fixed</v>
      </c>
      <c r="F50" s="146"/>
      <c r="G50" s="147">
        <f>_xlfn.IFNA(VALUE(INDEX(Producer!$F:$F,MATCH($D50,Producer!$A:$A,0)))*100,"")</f>
        <v>5.46</v>
      </c>
      <c r="H50" s="216">
        <f>_xlfn.IFNA(IFERROR(DATEVALUE(INDEX(Producer!$M:$M,MATCH($D50,Producer!$A:$A,0))),(INDEX(Producer!$M:$M,MATCH($D50,Producer!$A:$A,0)))),"")</f>
        <v>47514</v>
      </c>
      <c r="I50" s="217">
        <f>_xlfn.IFNA(VALUE(INDEX(Producer!$B:$B,MATCH($D50,Producer!$A:$A,0)))*12,"")</f>
        <v>60</v>
      </c>
      <c r="J50" s="146" t="str">
        <f>_xlfn.IFNA(IF(C50="Residential",IF(VALUE(INDEX(Producer!$B:$B,MATCH($D50,Producer!$A:$A,0)))&lt;5,Constants!$C$10,""),IF(VALUE(INDEX(Producer!$B:$B,MATCH($D50,Producer!$A:$A,0)))&lt;5,Constants!$C$11,"")),"")</f>
        <v/>
      </c>
      <c r="K50" s="216" t="str">
        <f>_xlfn.IFNA(IF(($I50)&lt;60,DATE(YEAR(H50)+(5-VALUE(INDEX(Producer!$B:$B,MATCH($D50,Producer!$A:$A,0)))),MONTH(H50),DAY(H50)),""),"")</f>
        <v/>
      </c>
      <c r="L50" s="153" t="str">
        <f t="shared" si="2"/>
        <v/>
      </c>
      <c r="M50" s="146"/>
      <c r="N50" s="148"/>
      <c r="O50" s="148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>
        <f>IF(D50="","",IF(C50="Residential",Constants!$B$10,Constants!$B$11))</f>
        <v>8.5399999999999991</v>
      </c>
      <c r="AL50" s="146" t="str">
        <f t="shared" si="3"/>
        <v>BVR</v>
      </c>
      <c r="AM50" s="206" t="str">
        <f t="shared" si="4"/>
        <v/>
      </c>
      <c r="AN50" s="146">
        <f t="shared" si="5"/>
        <v>10</v>
      </c>
      <c r="AO50" s="149" t="str">
        <f t="shared" si="6"/>
        <v>Remortgage</v>
      </c>
      <c r="AP50" s="150" t="str">
        <f t="shared" si="7"/>
        <v>ProductTransfer</v>
      </c>
      <c r="AQ50" s="146">
        <f>IFERROR(_xlfn.IFNA(IF($BA50="No",0,IF(INDEX(Constants!B:B,MATCH(($I50/12),Constants!$A:$A,0))=0,0,INDEX(Constants!B:B,MATCH(($I50/12),Constants!$A:$A,0)))),0),"")</f>
        <v>5</v>
      </c>
      <c r="AR50" s="146">
        <f>IFERROR(_xlfn.IFNA(IF($BA50="No",0,IF(INDEX(Constants!C:C,MATCH(($I50/12),Constants!$A:$A,0))=0,0,INDEX(Constants!C:C,MATCH(($I50/12),Constants!$A:$A,0)))),0),"")</f>
        <v>5</v>
      </c>
      <c r="AS50" s="146">
        <f>IFERROR(_xlfn.IFNA(IF($BA50="No",0,IF(INDEX(Constants!D:D,MATCH(($I50/12),Constants!$A:$A,0))=0,0,INDEX(Constants!D:D,MATCH(($I50/12),Constants!$A:$A,0)))),0),"")</f>
        <v>4</v>
      </c>
      <c r="AT50" s="146">
        <f>IFERROR(_xlfn.IFNA(IF($BA50="No",0,IF(INDEX(Constants!E:E,MATCH(($I50/12),Constants!$A:$A,0))=0,0,INDEX(Constants!E:E,MATCH(($I50/12),Constants!$A:$A,0)))),0),"")</f>
        <v>3</v>
      </c>
      <c r="AU50" s="146">
        <f>IFERROR(_xlfn.IFNA(IF($BA50="No",0,IF(INDEX(Constants!F:F,MATCH(($I50/12),Constants!$A:$A,0))=0,0,INDEX(Constants!F:F,MATCH(($I50/12),Constants!$A:$A,0)))),0),"")</f>
        <v>2</v>
      </c>
      <c r="AV50" s="146">
        <f>IFERROR(_xlfn.IFNA(IF($BA50="No",0,IF(INDEX(Constants!G:G,MATCH(($I50/12),Constants!$A:$A,0))=0,0,INDEX(Constants!G:G,MATCH(($I50/12),Constants!$A:$A,0)))),0),"")</f>
        <v>0</v>
      </c>
      <c r="AW50" s="146">
        <f>IFERROR(_xlfn.IFNA(IF($BA50="No",0,IF(INDEX(Constants!H:H,MATCH(($I50/12),Constants!$A:$A,0))=0,0,INDEX(Constants!H:H,MATCH(($I50/12),Constants!$A:$A,0)))),0),"")</f>
        <v>0</v>
      </c>
      <c r="AX50" s="146">
        <f>IFERROR(_xlfn.IFNA(IF($BA50="No",0,IF(INDEX(Constants!I:I,MATCH(($I50/12),Constants!$A:$A,0))=0,0,INDEX(Constants!I:I,MATCH(($I50/12),Constants!$A:$A,0)))),0),"")</f>
        <v>0</v>
      </c>
      <c r="AY50" s="146">
        <f>IFERROR(_xlfn.IFNA(IF($BA50="No",0,IF(INDEX(Constants!J:J,MATCH(($I50/12),Constants!$A:$A,0))=0,0,INDEX(Constants!J:J,MATCH(($I50/12),Constants!$A:$A,0)))),0),"")</f>
        <v>0</v>
      </c>
      <c r="AZ50" s="146">
        <f>IFERROR(_xlfn.IFNA(IF($BA50="No",0,IF(INDEX(Constants!K:K,MATCH(($I50/12),Constants!$A:$A,0))=0,0,INDEX(Constants!K:K,MATCH(($I50/12),Constants!$A:$A,0)))),0),"")</f>
        <v>0</v>
      </c>
      <c r="BA50" s="147" t="str">
        <f>_xlfn.IFNA(INDEX(Producer!$L:$L,MATCH($D50,Producer!$A:$A,0)),"")</f>
        <v>Yes</v>
      </c>
      <c r="BB50" s="146" t="str">
        <f>IFERROR(IF(AQ50=0,"",IF(($I50/12)=15,_xlfn.CONCAT(Constants!$N$7,TEXT(DATE(YEAR(H50)-(($I50/12)-3),MONTH(H50),DAY(H50)),"dd/mm/yyyy"),", ",Constants!$P$7,TEXT(DATE(YEAR(H50)-(($I50/12)-8),MONTH(H50),DAY(H50)),"dd/mm/yyyy"),", ",Constants!$T$7,TEXT(DATE(YEAR(H50)-(($I50/12)-11),MONTH(H50),DAY(H50)),"dd/mm/yyyy"),", ",Constants!$V$7,TEXT(DATE(YEAR(H50)-(($I50/12)-13),MONTH(H50),DAY(H50)),"dd/mm/yyyy"),", ",Constants!$W$7,TEXT($H50,"dd/mm/yyyy")),IF(($I50/12)=10,_xlfn.CONCAT(Constants!$N$6,TEXT(DATE(YEAR(H50)-(($I50/12)-2),MONTH(H50),DAY(H50)),"dd/mm/yyyy"),", ",Constants!$P$6,TEXT(DATE(YEAR(H50)-(($I50/12)-6),MONTH(H50),DAY(H50)),"dd/mm/yyyy"),", ",Constants!$T$6,TEXT(DATE(YEAR(H50)-(($I50/12)-8),MONTH(H50),DAY(H50)),"dd/mm/yyyy"),", ",Constants!$V$6,TEXT(DATE(YEAR(H50)-(($I50/12)-9),MONTH(H50),DAY(H50)),"dd/mm/yyyy"),", ",Constants!$W$6,TEXT($H50,"dd/mm/yyyy")),IF(($I50/12)=5,_xlfn.CONCAT(Constants!$N$5,TEXT(DATE(YEAR(H50)-(($I50/12)-1),MONTH(H50),DAY(H50)),"dd/mm/yyyy"),", ",Constants!$O$5,TEXT(DATE(YEAR(H50)-(($I50/12)-2),MONTH(H50),DAY(H50)),"dd/mm/yyyy"),", ",Constants!$P$5,TEXT(DATE(YEAR(H50)-(($I50/12)-3),MONTH(H50),DAY(H50)),"dd/mm/yyyy"),", ",Constants!$Q$5,TEXT(DATE(YEAR(H50)-(($I50/12)-4),MONTH(H50),DAY(H50)),"dd/mm/yyyy"),", ",Constants!$R$5,TEXT($H50,"dd/mm/yyyy")),IF(($I50/12)=3,_xlfn.CONCAT(Constants!$N$4,TEXT(DATE(YEAR(H50)-(($I50/12)-1),MONTH(H50),DAY(H50)),"dd/mm/yyyy"),", ",Constants!$O$4,TEXT(DATE(YEAR(H50)-(($I50/12)-2),MONTH(H50),DAY(H50)),"dd/mm/yyyy"),", ",Constants!$P$4,TEXT($H50,"dd/mm/yyyy")),IF(($I50/12)=2,_xlfn.CONCAT(Constants!$N$3,TEXT(DATE(YEAR(H50)-(($I50/12)-1),MONTH(H50),DAY(H50)),"dd/mm/yyyy"),", ",Constants!$O$3,TEXT($H50,"dd/mm/yyyy")),IF(($I50/12)=1,_xlfn.CONCAT(Constants!$N$2,TEXT($H50,"dd/mm/yyyy")),"Update Constants"))))))),"")</f>
        <v>5% to 31/01/2026, 5% to 31/01/2027, 4% to 31/01/2028, 3% to 31/01/2029, 2% to 31/01/2030</v>
      </c>
      <c r="BC50" s="147">
        <f>_xlfn.IFNA(VALUE(INDEX(Producer!$K:$K,MATCH($D50,Producer!$A:$A,0))),"")</f>
        <v>0</v>
      </c>
      <c r="BD50" s="147" t="str">
        <f>_xlfn.IFNA(INDEX(Producer!$I:$I,MATCH($D50,Producer!$A:$A,0)),"")</f>
        <v>No</v>
      </c>
      <c r="BE50" s="147" t="str">
        <f t="shared" si="8"/>
        <v>Yes</v>
      </c>
      <c r="BF50" s="147"/>
      <c r="BG50" s="147"/>
      <c r="BH50" s="151">
        <f>_xlfn.IFNA(INDEX(Constants!$B:$B,MATCH(BC50,Constants!A:A,0)),"")</f>
        <v>0</v>
      </c>
      <c r="BI50" s="147">
        <f>IF(LEFT(B50,15)="Limited Company",Constants!$D$16,IFERROR(_xlfn.IFNA(IF(C50="Residential",IF(BK50&lt;75,INDEX(Constants!$B:$B,MATCH(VALUE(60)/100,Constants!$A:$A,0)),INDEX(Constants!$B:$B,MATCH(VALUE(BK50)/100,Constants!$A:$A,0))),IF(BK50&lt;60,INDEX(Constants!$C:$C,MATCH(VALUE(60)/100,Constants!$A:$A,0)),INDEX(Constants!$C:$C,MATCH(VALUE(BK50)/100,Constants!$A:$A,0)))),""),""))</f>
        <v>1000000</v>
      </c>
      <c r="BJ50" s="147">
        <f t="shared" si="9"/>
        <v>0</v>
      </c>
      <c r="BK50" s="147">
        <f>_xlfn.IFNA(VALUE(INDEX(Producer!$E:$E,MATCH($D50,Producer!$A:$A,0)))*100,"")</f>
        <v>75</v>
      </c>
      <c r="BL50" s="146" t="str">
        <f>_xlfn.IFNA(IF(IFERROR(FIND("Part &amp; Part",B50),-10)&gt;0,"PP",IF(OR(LEFT(B50,25)="Residential Interest Only",INDEX(Producer!$P:$P,MATCH($D50,Producer!$A:$A,0))="IO",INDEX(Producer!$P:$P,MATCH($D50,Producer!$A:$A,0))="Retirement Interest Only"),"IO",IF($C50="BuyToLet","CI, IO","CI"))),"")</f>
        <v>CI, IO</v>
      </c>
      <c r="BM50" s="152">
        <f>_xlfn.IFNA(IF(BL50="IO",100%,IF(AND(INDEX(Producer!$P:$P,MATCH($D50,Producer!$A:$A,0))="Residential Interest Only Part &amp; Part",BK50=75),80%,IF(C50="BuyToLet",100%,IF(BL50="Interest Only",100%,IF(AND(INDEX(Producer!$P:$P,MATCH($D50,Producer!$A:$A,0))="Residential Interest Only Part &amp; Part",BK50=60),100%,""))))),"")</f>
        <v>1</v>
      </c>
      <c r="BN50" s="218">
        <f>_xlfn.IFNA(IF(VALUE(INDEX(Producer!$H:$H,MATCH($D50,Producer!$A:$A,0)))=0,"",VALUE(INDEX(Producer!$H:$H,MATCH($D50,Producer!$A:$A,0)))),"")</f>
        <v>999</v>
      </c>
      <c r="BO50" s="153"/>
      <c r="BP50" s="153"/>
      <c r="BQ50" s="219">
        <f t="shared" si="10"/>
        <v>35</v>
      </c>
      <c r="BR50" s="146"/>
      <c r="BS50" s="146"/>
      <c r="BT50" s="146"/>
      <c r="BU50" s="146"/>
      <c r="BV50" s="219">
        <f t="shared" si="11"/>
        <v>199</v>
      </c>
      <c r="BW50" s="146"/>
      <c r="BX50" s="146"/>
      <c r="BY50" s="146" t="str">
        <f t="shared" si="12"/>
        <v>No</v>
      </c>
      <c r="BZ50" s="146" t="str">
        <f t="shared" si="13"/>
        <v>No</v>
      </c>
      <c r="CA50" s="146" t="str">
        <f t="shared" si="14"/>
        <v>No</v>
      </c>
      <c r="CB50" s="146" t="str">
        <f t="shared" si="15"/>
        <v>No</v>
      </c>
      <c r="CC50" s="146" t="str">
        <f>_xlfn.IFNA(IF(INDEX(Producer!$P:$P,MATCH($D50,Producer!$A:$A,0))="Help to Buy","Only available","No"),"")</f>
        <v>No</v>
      </c>
      <c r="CD50" s="146" t="str">
        <f>_xlfn.IFNA(IF(INDEX(Producer!$P:$P,MATCH($D50,Producer!$A:$A,0))="Shared Ownership","Only available","No"),"")</f>
        <v>No</v>
      </c>
      <c r="CE50" s="146" t="str">
        <f>_xlfn.IFNA(IF(INDEX(Producer!$P:$P,MATCH($D50,Producer!$A:$A,0))="Right to Buy","Only available","No"),"")</f>
        <v>No</v>
      </c>
      <c r="CF50" s="146" t="str">
        <f t="shared" si="16"/>
        <v>No</v>
      </c>
      <c r="CG50" s="146" t="str">
        <f>_xlfn.IFNA(IF(INDEX(Producer!$P:$P,MATCH($D50,Producer!$A:$A,0))="Retirement Interest Only","Only available","No"),"")</f>
        <v>No</v>
      </c>
      <c r="CH50" s="146" t="str">
        <f t="shared" si="17"/>
        <v>No</v>
      </c>
      <c r="CI50" s="146" t="str">
        <f>_xlfn.IFNA(IF(INDEX(Producer!$P:$P,MATCH($D50,Producer!$A:$A,0))="Intermediary Holiday Let","Only available","No"),"")</f>
        <v>No</v>
      </c>
      <c r="CJ50" s="146" t="str">
        <f t="shared" si="18"/>
        <v>No</v>
      </c>
      <c r="CK50" s="146" t="str">
        <f>_xlfn.IFNA(IF(OR(INDEX(Producer!$P:$P,MATCH($D50,Producer!$A:$A,0))="Intermediary Small HMO",INDEX(Producer!$P:$P,MATCH($D50,Producer!$A:$A,0))="Intermediary Large HMO"),"Only available","No"),"")</f>
        <v>No</v>
      </c>
      <c r="CL50" s="146" t="str">
        <f t="shared" si="19"/>
        <v>Also available</v>
      </c>
      <c r="CM50" s="146" t="str">
        <f t="shared" si="20"/>
        <v>Only available</v>
      </c>
      <c r="CN50" s="146" t="str">
        <f t="shared" si="21"/>
        <v>No</v>
      </c>
      <c r="CO50" s="146" t="str">
        <f t="shared" si="22"/>
        <v>Also available</v>
      </c>
      <c r="CP50" s="146" t="str">
        <f t="shared" si="23"/>
        <v>No</v>
      </c>
      <c r="CQ50" s="146" t="str">
        <f t="shared" si="24"/>
        <v>No</v>
      </c>
      <c r="CR50" s="146" t="str">
        <f t="shared" si="25"/>
        <v>Also available</v>
      </c>
      <c r="CS50" s="146" t="str">
        <f t="shared" si="26"/>
        <v>Only available</v>
      </c>
      <c r="CT50" s="146" t="str">
        <f t="shared" si="27"/>
        <v>No</v>
      </c>
      <c r="CU50" s="146"/>
    </row>
    <row r="51" spans="1:99" ht="16.399999999999999" customHeight="1" x14ac:dyDescent="0.35">
      <c r="A51" s="145" t="str">
        <f t="shared" si="0"/>
        <v>Leeds Building Society</v>
      </c>
      <c r="B51" s="145" t="str">
        <f>_xlfn.IFNA(_xlfn.CONCAT(INDEX(Producer!$P:$P,MATCH($D51,Producer!$A:$A,0))," ",IF(INDEX(Producer!$N:$N,MATCH($D51,Producer!$A:$A,0))="Yes","Green ",""),IF(AND(INDEX(Producer!$L:$L,MATCH($D51,Producer!$A:$A,0))="No",INDEX(Producer!$C:$C,MATCH($D51,Producer!$A:$A,0))="Fixed"),"Flexit ",""),INDEX(Producer!$B:$B,MATCH($D51,Producer!$A:$A,0))," Year ",INDEX(Producer!$C:$C,MATCH($D51,Producer!$A:$A,0))," ",VALUE(INDEX(Producer!$E:$E,MATCH($D51,Producer!$A:$A,0)))*100,"% LTV",IF(INDEX(Producer!$N:$N,MATCH($D51,Producer!$A:$A,0))="Yes"," (EPC A-C)","")," - ",IF(INDEX(Producer!$D:$D,MATCH($D51,Producer!$A:$A,0))="DLY","Daily","Annual")),"")</f>
        <v>Intermediary Portfolio BTL 5 Year Fixed 75% LTV - Daily</v>
      </c>
      <c r="C51" s="146" t="str">
        <f>_xlfn.IFNA(INDEX(Producer!$Q:$Q,MATCH($D51,Producer!$A:$A,0)),"")</f>
        <v>BuyToLet</v>
      </c>
      <c r="D51" s="146">
        <f>IFERROR(VALUE(MID(Producer!$R$2,IF($D50="",1/0,FIND(_xlfn.CONCAT($D49,$D50),Producer!$R$2)+10),5)),"")</f>
        <v>54359</v>
      </c>
      <c r="E51" s="146" t="str">
        <f t="shared" si="1"/>
        <v>Fixed</v>
      </c>
      <c r="F51" s="146"/>
      <c r="G51" s="147">
        <f>_xlfn.IFNA(VALUE(INDEX(Producer!$F:$F,MATCH($D51,Producer!$A:$A,0)))*100,"")</f>
        <v>5.57</v>
      </c>
      <c r="H51" s="216">
        <f>_xlfn.IFNA(IFERROR(DATEVALUE(INDEX(Producer!$M:$M,MATCH($D51,Producer!$A:$A,0))),(INDEX(Producer!$M:$M,MATCH($D51,Producer!$A:$A,0)))),"")</f>
        <v>47514</v>
      </c>
      <c r="I51" s="217">
        <f>_xlfn.IFNA(VALUE(INDEX(Producer!$B:$B,MATCH($D51,Producer!$A:$A,0)))*12,"")</f>
        <v>60</v>
      </c>
      <c r="J51" s="146" t="str">
        <f>_xlfn.IFNA(IF(C51="Residential",IF(VALUE(INDEX(Producer!$B:$B,MATCH($D51,Producer!$A:$A,0)))&lt;5,Constants!$C$10,""),IF(VALUE(INDEX(Producer!$B:$B,MATCH($D51,Producer!$A:$A,0)))&lt;5,Constants!$C$11,"")),"")</f>
        <v/>
      </c>
      <c r="K51" s="216" t="str">
        <f>_xlfn.IFNA(IF(($I51)&lt;60,DATE(YEAR(H51)+(5-VALUE(INDEX(Producer!$B:$B,MATCH($D51,Producer!$A:$A,0)))),MONTH(H51),DAY(H51)),""),"")</f>
        <v/>
      </c>
      <c r="L51" s="153" t="str">
        <f t="shared" si="2"/>
        <v/>
      </c>
      <c r="M51" s="146"/>
      <c r="N51" s="148"/>
      <c r="O51" s="148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>
        <f>IF(D51="","",IF(C51="Residential",Constants!$B$10,Constants!$B$11))</f>
        <v>8.5399999999999991</v>
      </c>
      <c r="AL51" s="146" t="str">
        <f t="shared" si="3"/>
        <v>BVR</v>
      </c>
      <c r="AM51" s="206" t="str">
        <f t="shared" si="4"/>
        <v/>
      </c>
      <c r="AN51" s="146">
        <f t="shared" si="5"/>
        <v>10</v>
      </c>
      <c r="AO51" s="149" t="str">
        <f t="shared" si="6"/>
        <v>Remortgage</v>
      </c>
      <c r="AP51" s="150" t="str">
        <f t="shared" si="7"/>
        <v>ProductTransfer</v>
      </c>
      <c r="AQ51" s="146">
        <f>IFERROR(_xlfn.IFNA(IF($BA51="No",0,IF(INDEX(Constants!B:B,MATCH(($I51/12),Constants!$A:$A,0))=0,0,INDEX(Constants!B:B,MATCH(($I51/12),Constants!$A:$A,0)))),0),"")</f>
        <v>5</v>
      </c>
      <c r="AR51" s="146">
        <f>IFERROR(_xlfn.IFNA(IF($BA51="No",0,IF(INDEX(Constants!C:C,MATCH(($I51/12),Constants!$A:$A,0))=0,0,INDEX(Constants!C:C,MATCH(($I51/12),Constants!$A:$A,0)))),0),"")</f>
        <v>5</v>
      </c>
      <c r="AS51" s="146">
        <f>IFERROR(_xlfn.IFNA(IF($BA51="No",0,IF(INDEX(Constants!D:D,MATCH(($I51/12),Constants!$A:$A,0))=0,0,INDEX(Constants!D:D,MATCH(($I51/12),Constants!$A:$A,0)))),0),"")</f>
        <v>4</v>
      </c>
      <c r="AT51" s="146">
        <f>IFERROR(_xlfn.IFNA(IF($BA51="No",0,IF(INDEX(Constants!E:E,MATCH(($I51/12),Constants!$A:$A,0))=0,0,INDEX(Constants!E:E,MATCH(($I51/12),Constants!$A:$A,0)))),0),"")</f>
        <v>3</v>
      </c>
      <c r="AU51" s="146">
        <f>IFERROR(_xlfn.IFNA(IF($BA51="No",0,IF(INDEX(Constants!F:F,MATCH(($I51/12),Constants!$A:$A,0))=0,0,INDEX(Constants!F:F,MATCH(($I51/12),Constants!$A:$A,0)))),0),"")</f>
        <v>2</v>
      </c>
      <c r="AV51" s="146">
        <f>IFERROR(_xlfn.IFNA(IF($BA51="No",0,IF(INDEX(Constants!G:G,MATCH(($I51/12),Constants!$A:$A,0))=0,0,INDEX(Constants!G:G,MATCH(($I51/12),Constants!$A:$A,0)))),0),"")</f>
        <v>0</v>
      </c>
      <c r="AW51" s="146">
        <f>IFERROR(_xlfn.IFNA(IF($BA51="No",0,IF(INDEX(Constants!H:H,MATCH(($I51/12),Constants!$A:$A,0))=0,0,INDEX(Constants!H:H,MATCH(($I51/12),Constants!$A:$A,0)))),0),"")</f>
        <v>0</v>
      </c>
      <c r="AX51" s="146">
        <f>IFERROR(_xlfn.IFNA(IF($BA51="No",0,IF(INDEX(Constants!I:I,MATCH(($I51/12),Constants!$A:$A,0))=0,0,INDEX(Constants!I:I,MATCH(($I51/12),Constants!$A:$A,0)))),0),"")</f>
        <v>0</v>
      </c>
      <c r="AY51" s="146">
        <f>IFERROR(_xlfn.IFNA(IF($BA51="No",0,IF(INDEX(Constants!J:J,MATCH(($I51/12),Constants!$A:$A,0))=0,0,INDEX(Constants!J:J,MATCH(($I51/12),Constants!$A:$A,0)))),0),"")</f>
        <v>0</v>
      </c>
      <c r="AZ51" s="146">
        <f>IFERROR(_xlfn.IFNA(IF($BA51="No",0,IF(INDEX(Constants!K:K,MATCH(($I51/12),Constants!$A:$A,0))=0,0,INDEX(Constants!K:K,MATCH(($I51/12),Constants!$A:$A,0)))),0),"")</f>
        <v>0</v>
      </c>
      <c r="BA51" s="147" t="str">
        <f>_xlfn.IFNA(INDEX(Producer!$L:$L,MATCH($D51,Producer!$A:$A,0)),"")</f>
        <v>Yes</v>
      </c>
      <c r="BB51" s="146" t="str">
        <f>IFERROR(IF(AQ51=0,"",IF(($I51/12)=15,_xlfn.CONCAT(Constants!$N$7,TEXT(DATE(YEAR(H51)-(($I51/12)-3),MONTH(H51),DAY(H51)),"dd/mm/yyyy"),", ",Constants!$P$7,TEXT(DATE(YEAR(H51)-(($I51/12)-8),MONTH(H51),DAY(H51)),"dd/mm/yyyy"),", ",Constants!$T$7,TEXT(DATE(YEAR(H51)-(($I51/12)-11),MONTH(H51),DAY(H51)),"dd/mm/yyyy"),", ",Constants!$V$7,TEXT(DATE(YEAR(H51)-(($I51/12)-13),MONTH(H51),DAY(H51)),"dd/mm/yyyy"),", ",Constants!$W$7,TEXT($H51,"dd/mm/yyyy")),IF(($I51/12)=10,_xlfn.CONCAT(Constants!$N$6,TEXT(DATE(YEAR(H51)-(($I51/12)-2),MONTH(H51),DAY(H51)),"dd/mm/yyyy"),", ",Constants!$P$6,TEXT(DATE(YEAR(H51)-(($I51/12)-6),MONTH(H51),DAY(H51)),"dd/mm/yyyy"),", ",Constants!$T$6,TEXT(DATE(YEAR(H51)-(($I51/12)-8),MONTH(H51),DAY(H51)),"dd/mm/yyyy"),", ",Constants!$V$6,TEXT(DATE(YEAR(H51)-(($I51/12)-9),MONTH(H51),DAY(H51)),"dd/mm/yyyy"),", ",Constants!$W$6,TEXT($H51,"dd/mm/yyyy")),IF(($I51/12)=5,_xlfn.CONCAT(Constants!$N$5,TEXT(DATE(YEAR(H51)-(($I51/12)-1),MONTH(H51),DAY(H51)),"dd/mm/yyyy"),", ",Constants!$O$5,TEXT(DATE(YEAR(H51)-(($I51/12)-2),MONTH(H51),DAY(H51)),"dd/mm/yyyy"),", ",Constants!$P$5,TEXT(DATE(YEAR(H51)-(($I51/12)-3),MONTH(H51),DAY(H51)),"dd/mm/yyyy"),", ",Constants!$Q$5,TEXT(DATE(YEAR(H51)-(($I51/12)-4),MONTH(H51),DAY(H51)),"dd/mm/yyyy"),", ",Constants!$R$5,TEXT($H51,"dd/mm/yyyy")),IF(($I51/12)=3,_xlfn.CONCAT(Constants!$N$4,TEXT(DATE(YEAR(H51)-(($I51/12)-1),MONTH(H51),DAY(H51)),"dd/mm/yyyy"),", ",Constants!$O$4,TEXT(DATE(YEAR(H51)-(($I51/12)-2),MONTH(H51),DAY(H51)),"dd/mm/yyyy"),", ",Constants!$P$4,TEXT($H51,"dd/mm/yyyy")),IF(($I51/12)=2,_xlfn.CONCAT(Constants!$N$3,TEXT(DATE(YEAR(H51)-(($I51/12)-1),MONTH(H51),DAY(H51)),"dd/mm/yyyy"),", ",Constants!$O$3,TEXT($H51,"dd/mm/yyyy")),IF(($I51/12)=1,_xlfn.CONCAT(Constants!$N$2,TEXT($H51,"dd/mm/yyyy")),"Update Constants"))))))),"")</f>
        <v>5% to 31/01/2026, 5% to 31/01/2027, 4% to 31/01/2028, 3% to 31/01/2029, 2% to 31/01/2030</v>
      </c>
      <c r="BC51" s="147">
        <f>_xlfn.IFNA(VALUE(INDEX(Producer!$K:$K,MATCH($D51,Producer!$A:$A,0))),"")</f>
        <v>0</v>
      </c>
      <c r="BD51" s="147" t="str">
        <f>_xlfn.IFNA(INDEX(Producer!$I:$I,MATCH($D51,Producer!$A:$A,0)),"")</f>
        <v>No</v>
      </c>
      <c r="BE51" s="147" t="str">
        <f t="shared" si="8"/>
        <v>Yes</v>
      </c>
      <c r="BF51" s="147"/>
      <c r="BG51" s="147"/>
      <c r="BH51" s="151">
        <f>_xlfn.IFNA(INDEX(Constants!$B:$B,MATCH(BC51,Constants!A:A,0)),"")</f>
        <v>0</v>
      </c>
      <c r="BI51" s="147">
        <f>IF(LEFT(B51,15)="Limited Company",Constants!$D$16,IFERROR(_xlfn.IFNA(IF(C51="Residential",IF(BK51&lt;75,INDEX(Constants!$B:$B,MATCH(VALUE(60)/100,Constants!$A:$A,0)),INDEX(Constants!$B:$B,MATCH(VALUE(BK51)/100,Constants!$A:$A,0))),IF(BK51&lt;60,INDEX(Constants!$C:$C,MATCH(VALUE(60)/100,Constants!$A:$A,0)),INDEX(Constants!$C:$C,MATCH(VALUE(BK51)/100,Constants!$A:$A,0)))),""),""))</f>
        <v>1000000</v>
      </c>
      <c r="BJ51" s="147">
        <f t="shared" si="9"/>
        <v>0</v>
      </c>
      <c r="BK51" s="147">
        <f>_xlfn.IFNA(VALUE(INDEX(Producer!$E:$E,MATCH($D51,Producer!$A:$A,0)))*100,"")</f>
        <v>75</v>
      </c>
      <c r="BL51" s="146" t="str">
        <f>_xlfn.IFNA(IF(IFERROR(FIND("Part &amp; Part",B51),-10)&gt;0,"PP",IF(OR(LEFT(B51,25)="Residential Interest Only",INDEX(Producer!$P:$P,MATCH($D51,Producer!$A:$A,0))="IO",INDEX(Producer!$P:$P,MATCH($D51,Producer!$A:$A,0))="Retirement Interest Only"),"IO",IF($C51="BuyToLet","CI, IO","CI"))),"")</f>
        <v>CI, IO</v>
      </c>
      <c r="BM51" s="152">
        <f>_xlfn.IFNA(IF(BL51="IO",100%,IF(AND(INDEX(Producer!$P:$P,MATCH($D51,Producer!$A:$A,0))="Residential Interest Only Part &amp; Part",BK51=75),80%,IF(C51="BuyToLet",100%,IF(BL51="Interest Only",100%,IF(AND(INDEX(Producer!$P:$P,MATCH($D51,Producer!$A:$A,0))="Residential Interest Only Part &amp; Part",BK51=60),100%,""))))),"")</f>
        <v>1</v>
      </c>
      <c r="BN51" s="218" t="str">
        <f>_xlfn.IFNA(IF(VALUE(INDEX(Producer!$H:$H,MATCH($D51,Producer!$A:$A,0)))=0,"",VALUE(INDEX(Producer!$H:$H,MATCH($D51,Producer!$A:$A,0)))),"")</f>
        <v/>
      </c>
      <c r="BO51" s="153"/>
      <c r="BP51" s="153"/>
      <c r="BQ51" s="219">
        <f t="shared" si="10"/>
        <v>35</v>
      </c>
      <c r="BR51" s="146"/>
      <c r="BS51" s="146"/>
      <c r="BT51" s="146"/>
      <c r="BU51" s="146"/>
      <c r="BV51" s="219">
        <f t="shared" si="11"/>
        <v>199</v>
      </c>
      <c r="BW51" s="146"/>
      <c r="BX51" s="146"/>
      <c r="BY51" s="146" t="str">
        <f t="shared" si="12"/>
        <v>No</v>
      </c>
      <c r="BZ51" s="146" t="str">
        <f t="shared" si="13"/>
        <v>No</v>
      </c>
      <c r="CA51" s="146" t="str">
        <f t="shared" si="14"/>
        <v>No</v>
      </c>
      <c r="CB51" s="146" t="str">
        <f t="shared" si="15"/>
        <v>No</v>
      </c>
      <c r="CC51" s="146" t="str">
        <f>_xlfn.IFNA(IF(INDEX(Producer!$P:$P,MATCH($D51,Producer!$A:$A,0))="Help to Buy","Only available","No"),"")</f>
        <v>No</v>
      </c>
      <c r="CD51" s="146" t="str">
        <f>_xlfn.IFNA(IF(INDEX(Producer!$P:$P,MATCH($D51,Producer!$A:$A,0))="Shared Ownership","Only available","No"),"")</f>
        <v>No</v>
      </c>
      <c r="CE51" s="146" t="str">
        <f>_xlfn.IFNA(IF(INDEX(Producer!$P:$P,MATCH($D51,Producer!$A:$A,0))="Right to Buy","Only available","No"),"")</f>
        <v>No</v>
      </c>
      <c r="CF51" s="146" t="str">
        <f t="shared" si="16"/>
        <v>No</v>
      </c>
      <c r="CG51" s="146" t="str">
        <f>_xlfn.IFNA(IF(INDEX(Producer!$P:$P,MATCH($D51,Producer!$A:$A,0))="Retirement Interest Only","Only available","No"),"")</f>
        <v>No</v>
      </c>
      <c r="CH51" s="146" t="str">
        <f t="shared" si="17"/>
        <v>No</v>
      </c>
      <c r="CI51" s="146" t="str">
        <f>_xlfn.IFNA(IF(INDEX(Producer!$P:$P,MATCH($D51,Producer!$A:$A,0))="Intermediary Holiday Let","Only available","No"),"")</f>
        <v>No</v>
      </c>
      <c r="CJ51" s="146" t="str">
        <f t="shared" si="18"/>
        <v>No</v>
      </c>
      <c r="CK51" s="146" t="str">
        <f>_xlfn.IFNA(IF(OR(INDEX(Producer!$P:$P,MATCH($D51,Producer!$A:$A,0))="Intermediary Small HMO",INDEX(Producer!$P:$P,MATCH($D51,Producer!$A:$A,0))="Intermediary Large HMO"),"Only available","No"),"")</f>
        <v>No</v>
      </c>
      <c r="CL51" s="146" t="str">
        <f t="shared" si="19"/>
        <v>Also available</v>
      </c>
      <c r="CM51" s="146" t="str">
        <f t="shared" si="20"/>
        <v>Only available</v>
      </c>
      <c r="CN51" s="146" t="str">
        <f t="shared" si="21"/>
        <v>No</v>
      </c>
      <c r="CO51" s="146" t="str">
        <f t="shared" si="22"/>
        <v>Also available</v>
      </c>
      <c r="CP51" s="146" t="str">
        <f t="shared" si="23"/>
        <v>No</v>
      </c>
      <c r="CQ51" s="146" t="str">
        <f t="shared" si="24"/>
        <v>No</v>
      </c>
      <c r="CR51" s="146" t="str">
        <f t="shared" si="25"/>
        <v>Also available</v>
      </c>
      <c r="CS51" s="146" t="str">
        <f t="shared" si="26"/>
        <v>Only available</v>
      </c>
      <c r="CT51" s="146" t="str">
        <f t="shared" si="27"/>
        <v>No</v>
      </c>
      <c r="CU51" s="146"/>
    </row>
    <row r="52" spans="1:99" ht="16.399999999999999" customHeight="1" x14ac:dyDescent="0.35">
      <c r="A52" s="145" t="str">
        <f t="shared" si="0"/>
        <v>Leeds Building Society</v>
      </c>
      <c r="B52" s="145" t="str">
        <f>_xlfn.IFNA(_xlfn.CONCAT(INDEX(Producer!$P:$P,MATCH($D52,Producer!$A:$A,0))," ",IF(INDEX(Producer!$N:$N,MATCH($D52,Producer!$A:$A,0))="Yes","Green ",""),IF(AND(INDEX(Producer!$L:$L,MATCH($D52,Producer!$A:$A,0))="No",INDEX(Producer!$C:$C,MATCH($D52,Producer!$A:$A,0))="Fixed"),"Flexit ",""),INDEX(Producer!$B:$B,MATCH($D52,Producer!$A:$A,0))," Year ",INDEX(Producer!$C:$C,MATCH($D52,Producer!$A:$A,0))," ",VALUE(INDEX(Producer!$E:$E,MATCH($D52,Producer!$A:$A,0)))*100,"% LTV",IF(INDEX(Producer!$N:$N,MATCH($D52,Producer!$A:$A,0))="Yes"," (EPC A-C)","")," - ",IF(INDEX(Producer!$D:$D,MATCH($D52,Producer!$A:$A,0))="DLY","Daily","Annual")),"")</f>
        <v>Intermediary Holiday Let 2 Year Fixed 60% LTV - Daily</v>
      </c>
      <c r="C52" s="146" t="str">
        <f>_xlfn.IFNA(INDEX(Producer!$Q:$Q,MATCH($D52,Producer!$A:$A,0)),"")</f>
        <v>BuyToLet</v>
      </c>
      <c r="D52" s="146">
        <f>IFERROR(VALUE(MID(Producer!$R$2,IF($D51="",1/0,FIND(_xlfn.CONCAT($D50,$D51),Producer!$R$2)+10),5)),"")</f>
        <v>54299</v>
      </c>
      <c r="E52" s="146" t="str">
        <f t="shared" si="1"/>
        <v>Stepped Fixed</v>
      </c>
      <c r="F52" s="146"/>
      <c r="G52" s="147">
        <f>_xlfn.IFNA(VALUE(INDEX(Producer!$F:$F,MATCH($D52,Producer!$A:$A,0)))*100,"")</f>
        <v>5.59</v>
      </c>
      <c r="H52" s="216">
        <f>_xlfn.IFNA(IFERROR(DATEVALUE(INDEX(Producer!$M:$M,MATCH($D52,Producer!$A:$A,0))),(INDEX(Producer!$M:$M,MATCH($D52,Producer!$A:$A,0)))),"")</f>
        <v>46418</v>
      </c>
      <c r="I52" s="217">
        <f>_xlfn.IFNA(VALUE(INDEX(Producer!$B:$B,MATCH($D52,Producer!$A:$A,0)))*12,"")</f>
        <v>24</v>
      </c>
      <c r="J52" s="146">
        <f>_xlfn.IFNA(IF(C52="Residential",IF(VALUE(INDEX(Producer!$B:$B,MATCH($D52,Producer!$A:$A,0)))&lt;5,Constants!$C$10,""),IF(VALUE(INDEX(Producer!$B:$B,MATCH($D52,Producer!$A:$A,0)))&lt;5,Constants!$C$11,"")),"")</f>
        <v>7.54</v>
      </c>
      <c r="K52" s="216">
        <f>_xlfn.IFNA(IF(($I52)&lt;60,DATE(YEAR(H52)+(5-VALUE(INDEX(Producer!$B:$B,MATCH($D52,Producer!$A:$A,0)))),MONTH(H52),DAY(H52)),""),"")</f>
        <v>47514</v>
      </c>
      <c r="L52" s="153">
        <f t="shared" si="2"/>
        <v>36</v>
      </c>
      <c r="M52" s="146"/>
      <c r="N52" s="148"/>
      <c r="O52" s="148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>
        <f>IF(D52="","",IF(C52="Residential",Constants!$B$10,Constants!$B$11))</f>
        <v>8.5399999999999991</v>
      </c>
      <c r="AL52" s="146" t="str">
        <f t="shared" si="3"/>
        <v>BVR</v>
      </c>
      <c r="AM52" s="206" t="str">
        <f t="shared" si="4"/>
        <v/>
      </c>
      <c r="AN52" s="146">
        <f t="shared" si="5"/>
        <v>10</v>
      </c>
      <c r="AO52" s="149" t="str">
        <f t="shared" si="6"/>
        <v>Remortgage</v>
      </c>
      <c r="AP52" s="150" t="str">
        <f t="shared" si="7"/>
        <v>ProductTransfer</v>
      </c>
      <c r="AQ52" s="146">
        <f>IFERROR(_xlfn.IFNA(IF($BA52="No",0,IF(INDEX(Constants!B:B,MATCH(($I52/12),Constants!$A:$A,0))=0,0,INDEX(Constants!B:B,MATCH(($I52/12),Constants!$A:$A,0)))),0),"")</f>
        <v>2.5</v>
      </c>
      <c r="AR52" s="146">
        <f>IFERROR(_xlfn.IFNA(IF($BA52="No",0,IF(INDEX(Constants!C:C,MATCH(($I52/12),Constants!$A:$A,0))=0,0,INDEX(Constants!C:C,MATCH(($I52/12),Constants!$A:$A,0)))),0),"")</f>
        <v>1.5</v>
      </c>
      <c r="AS52" s="146">
        <f>IFERROR(_xlfn.IFNA(IF($BA52="No",0,IF(INDEX(Constants!D:D,MATCH(($I52/12),Constants!$A:$A,0))=0,0,INDEX(Constants!D:D,MATCH(($I52/12),Constants!$A:$A,0)))),0),"")</f>
        <v>0</v>
      </c>
      <c r="AT52" s="146">
        <f>IFERROR(_xlfn.IFNA(IF($BA52="No",0,IF(INDEX(Constants!E:E,MATCH(($I52/12),Constants!$A:$A,0))=0,0,INDEX(Constants!E:E,MATCH(($I52/12),Constants!$A:$A,0)))),0),"")</f>
        <v>0</v>
      </c>
      <c r="AU52" s="146">
        <f>IFERROR(_xlfn.IFNA(IF($BA52="No",0,IF(INDEX(Constants!F:F,MATCH(($I52/12),Constants!$A:$A,0))=0,0,INDEX(Constants!F:F,MATCH(($I52/12),Constants!$A:$A,0)))),0),"")</f>
        <v>0</v>
      </c>
      <c r="AV52" s="146">
        <f>IFERROR(_xlfn.IFNA(IF($BA52="No",0,IF(INDEX(Constants!G:G,MATCH(($I52/12),Constants!$A:$A,0))=0,0,INDEX(Constants!G:G,MATCH(($I52/12),Constants!$A:$A,0)))),0),"")</f>
        <v>0</v>
      </c>
      <c r="AW52" s="146">
        <f>IFERROR(_xlfn.IFNA(IF($BA52="No",0,IF(INDEX(Constants!H:H,MATCH(($I52/12),Constants!$A:$A,0))=0,0,INDEX(Constants!H:H,MATCH(($I52/12),Constants!$A:$A,0)))),0),"")</f>
        <v>0</v>
      </c>
      <c r="AX52" s="146">
        <f>IFERROR(_xlfn.IFNA(IF($BA52="No",0,IF(INDEX(Constants!I:I,MATCH(($I52/12),Constants!$A:$A,0))=0,0,INDEX(Constants!I:I,MATCH(($I52/12),Constants!$A:$A,0)))),0),"")</f>
        <v>0</v>
      </c>
      <c r="AY52" s="146">
        <f>IFERROR(_xlfn.IFNA(IF($BA52="No",0,IF(INDEX(Constants!J:J,MATCH(($I52/12),Constants!$A:$A,0))=0,0,INDEX(Constants!J:J,MATCH(($I52/12),Constants!$A:$A,0)))),0),"")</f>
        <v>0</v>
      </c>
      <c r="AZ52" s="146">
        <f>IFERROR(_xlfn.IFNA(IF($BA52="No",0,IF(INDEX(Constants!K:K,MATCH(($I52/12),Constants!$A:$A,0))=0,0,INDEX(Constants!K:K,MATCH(($I52/12),Constants!$A:$A,0)))),0),"")</f>
        <v>0</v>
      </c>
      <c r="BA52" s="147" t="str">
        <f>_xlfn.IFNA(INDEX(Producer!$L:$L,MATCH($D52,Producer!$A:$A,0)),"")</f>
        <v>Yes</v>
      </c>
      <c r="BB52" s="146" t="str">
        <f>IFERROR(IF(AQ52=0,"",IF(($I52/12)=15,_xlfn.CONCAT(Constants!$N$7,TEXT(DATE(YEAR(H52)-(($I52/12)-3),MONTH(H52),DAY(H52)),"dd/mm/yyyy"),", ",Constants!$P$7,TEXT(DATE(YEAR(H52)-(($I52/12)-8),MONTH(H52),DAY(H52)),"dd/mm/yyyy"),", ",Constants!$T$7,TEXT(DATE(YEAR(H52)-(($I52/12)-11),MONTH(H52),DAY(H52)),"dd/mm/yyyy"),", ",Constants!$V$7,TEXT(DATE(YEAR(H52)-(($I52/12)-13),MONTH(H52),DAY(H52)),"dd/mm/yyyy"),", ",Constants!$W$7,TEXT($H52,"dd/mm/yyyy")),IF(($I52/12)=10,_xlfn.CONCAT(Constants!$N$6,TEXT(DATE(YEAR(H52)-(($I52/12)-2),MONTH(H52),DAY(H52)),"dd/mm/yyyy"),", ",Constants!$P$6,TEXT(DATE(YEAR(H52)-(($I52/12)-6),MONTH(H52),DAY(H52)),"dd/mm/yyyy"),", ",Constants!$T$6,TEXT(DATE(YEAR(H52)-(($I52/12)-8),MONTH(H52),DAY(H52)),"dd/mm/yyyy"),", ",Constants!$V$6,TEXT(DATE(YEAR(H52)-(($I52/12)-9),MONTH(H52),DAY(H52)),"dd/mm/yyyy"),", ",Constants!$W$6,TEXT($H52,"dd/mm/yyyy")),IF(($I52/12)=5,_xlfn.CONCAT(Constants!$N$5,TEXT(DATE(YEAR(H52)-(($I52/12)-1),MONTH(H52),DAY(H52)),"dd/mm/yyyy"),", ",Constants!$O$5,TEXT(DATE(YEAR(H52)-(($I52/12)-2),MONTH(H52),DAY(H52)),"dd/mm/yyyy"),", ",Constants!$P$5,TEXT(DATE(YEAR(H52)-(($I52/12)-3),MONTH(H52),DAY(H52)),"dd/mm/yyyy"),", ",Constants!$Q$5,TEXT(DATE(YEAR(H52)-(($I52/12)-4),MONTH(H52),DAY(H52)),"dd/mm/yyyy"),", ",Constants!$R$5,TEXT($H52,"dd/mm/yyyy")),IF(($I52/12)=3,_xlfn.CONCAT(Constants!$N$4,TEXT(DATE(YEAR(H52)-(($I52/12)-1),MONTH(H52),DAY(H52)),"dd/mm/yyyy"),", ",Constants!$O$4,TEXT(DATE(YEAR(H52)-(($I52/12)-2),MONTH(H52),DAY(H52)),"dd/mm/yyyy"),", ",Constants!$P$4,TEXT($H52,"dd/mm/yyyy")),IF(($I52/12)=2,_xlfn.CONCAT(Constants!$N$3,TEXT(DATE(YEAR(H52)-(($I52/12)-1),MONTH(H52),DAY(H52)),"dd/mm/yyyy"),", ",Constants!$O$3,TEXT($H52,"dd/mm/yyyy")),IF(($I52/12)=1,_xlfn.CONCAT(Constants!$N$2,TEXT($H52,"dd/mm/yyyy")),"Update Constants"))))))),"")</f>
        <v>2.5% to 31/01/2026, 1.5% to 31/01/2027</v>
      </c>
      <c r="BC52" s="147">
        <f>_xlfn.IFNA(VALUE(INDEX(Producer!$K:$K,MATCH($D52,Producer!$A:$A,0))),"")</f>
        <v>0</v>
      </c>
      <c r="BD52" s="147" t="str">
        <f>_xlfn.IFNA(INDEX(Producer!$I:$I,MATCH($D52,Producer!$A:$A,0)),"")</f>
        <v>No</v>
      </c>
      <c r="BE52" s="147" t="str">
        <f t="shared" si="8"/>
        <v>Yes</v>
      </c>
      <c r="BF52" s="147"/>
      <c r="BG52" s="147"/>
      <c r="BH52" s="151">
        <f>_xlfn.IFNA(INDEX(Constants!$B:$B,MATCH(BC52,Constants!A:A,0)),"")</f>
        <v>0</v>
      </c>
      <c r="BI52" s="147">
        <f>IF(LEFT(B52,15)="Limited Company",Constants!$D$16,IFERROR(_xlfn.IFNA(IF(C52="Residential",IF(BK52&lt;75,INDEX(Constants!$B:$B,MATCH(VALUE(60)/100,Constants!$A:$A,0)),INDEX(Constants!$B:$B,MATCH(VALUE(BK52)/100,Constants!$A:$A,0))),IF(BK52&lt;60,INDEX(Constants!$C:$C,MATCH(VALUE(60)/100,Constants!$A:$A,0)),INDEX(Constants!$C:$C,MATCH(VALUE(BK52)/100,Constants!$A:$A,0)))),""),""))</f>
        <v>1000000</v>
      </c>
      <c r="BJ52" s="147">
        <f t="shared" si="9"/>
        <v>0</v>
      </c>
      <c r="BK52" s="147">
        <f>_xlfn.IFNA(VALUE(INDEX(Producer!$E:$E,MATCH($D52,Producer!$A:$A,0)))*100,"")</f>
        <v>60</v>
      </c>
      <c r="BL52" s="146" t="str">
        <f>_xlfn.IFNA(IF(IFERROR(FIND("Part &amp; Part",B52),-10)&gt;0,"PP",IF(OR(LEFT(B52,25)="Residential Interest Only",INDEX(Producer!$P:$P,MATCH($D52,Producer!$A:$A,0))="IO",INDEX(Producer!$P:$P,MATCH($D52,Producer!$A:$A,0))="Retirement Interest Only"),"IO",IF($C52="BuyToLet","CI, IO","CI"))),"")</f>
        <v>CI, IO</v>
      </c>
      <c r="BM52" s="152">
        <f>_xlfn.IFNA(IF(BL52="IO",100%,IF(AND(INDEX(Producer!$P:$P,MATCH($D52,Producer!$A:$A,0))="Residential Interest Only Part &amp; Part",BK52=75),80%,IF(C52="BuyToLet",100%,IF(BL52="Interest Only",100%,IF(AND(INDEX(Producer!$P:$P,MATCH($D52,Producer!$A:$A,0))="Residential Interest Only Part &amp; Part",BK52=60),100%,""))))),"")</f>
        <v>1</v>
      </c>
      <c r="BN52" s="218" t="str">
        <f>_xlfn.IFNA(IF(VALUE(INDEX(Producer!$H:$H,MATCH($D52,Producer!$A:$A,0)))=0,"",VALUE(INDEX(Producer!$H:$H,MATCH($D52,Producer!$A:$A,0)))),"")</f>
        <v/>
      </c>
      <c r="BO52" s="153"/>
      <c r="BP52" s="153"/>
      <c r="BQ52" s="219">
        <f t="shared" si="10"/>
        <v>35</v>
      </c>
      <c r="BR52" s="146"/>
      <c r="BS52" s="146"/>
      <c r="BT52" s="146"/>
      <c r="BU52" s="146"/>
      <c r="BV52" s="219">
        <f t="shared" si="11"/>
        <v>199</v>
      </c>
      <c r="BW52" s="146"/>
      <c r="BX52" s="146"/>
      <c r="BY52" s="146" t="str">
        <f t="shared" si="12"/>
        <v>No</v>
      </c>
      <c r="BZ52" s="146" t="str">
        <f t="shared" si="13"/>
        <v>No</v>
      </c>
      <c r="CA52" s="146" t="str">
        <f t="shared" si="14"/>
        <v>No</v>
      </c>
      <c r="CB52" s="146" t="str">
        <f t="shared" si="15"/>
        <v>No</v>
      </c>
      <c r="CC52" s="146" t="str">
        <f>_xlfn.IFNA(IF(INDEX(Producer!$P:$P,MATCH($D52,Producer!$A:$A,0))="Help to Buy","Only available","No"),"")</f>
        <v>No</v>
      </c>
      <c r="CD52" s="146" t="str">
        <f>_xlfn.IFNA(IF(INDEX(Producer!$P:$P,MATCH($D52,Producer!$A:$A,0))="Shared Ownership","Only available","No"),"")</f>
        <v>No</v>
      </c>
      <c r="CE52" s="146" t="str">
        <f>_xlfn.IFNA(IF(INDEX(Producer!$P:$P,MATCH($D52,Producer!$A:$A,0))="Right to Buy","Only available","No"),"")</f>
        <v>No</v>
      </c>
      <c r="CF52" s="146" t="str">
        <f t="shared" si="16"/>
        <v>No</v>
      </c>
      <c r="CG52" s="146" t="str">
        <f>_xlfn.IFNA(IF(INDEX(Producer!$P:$P,MATCH($D52,Producer!$A:$A,0))="Retirement Interest Only","Only available","No"),"")</f>
        <v>No</v>
      </c>
      <c r="CH52" s="146" t="str">
        <f t="shared" si="17"/>
        <v>No</v>
      </c>
      <c r="CI52" s="146" t="str">
        <f>_xlfn.IFNA(IF(INDEX(Producer!$P:$P,MATCH($D52,Producer!$A:$A,0))="Intermediary Holiday Let","Only available","No"),"")</f>
        <v>Only available</v>
      </c>
      <c r="CJ52" s="146" t="str">
        <f t="shared" si="18"/>
        <v>No</v>
      </c>
      <c r="CK52" s="146" t="str">
        <f>_xlfn.IFNA(IF(OR(INDEX(Producer!$P:$P,MATCH($D52,Producer!$A:$A,0))="Intermediary Small HMO",INDEX(Producer!$P:$P,MATCH($D52,Producer!$A:$A,0))="Intermediary Large HMO"),"Only available","No"),"")</f>
        <v>No</v>
      </c>
      <c r="CL52" s="146" t="str">
        <f t="shared" si="19"/>
        <v>Also available</v>
      </c>
      <c r="CM52" s="146" t="str">
        <f t="shared" si="20"/>
        <v>Also available</v>
      </c>
      <c r="CN52" s="146" t="str">
        <f t="shared" si="21"/>
        <v>No</v>
      </c>
      <c r="CO52" s="146" t="str">
        <f t="shared" si="22"/>
        <v>Also available</v>
      </c>
      <c r="CP52" s="146" t="str">
        <f t="shared" si="23"/>
        <v>No</v>
      </c>
      <c r="CQ52" s="146" t="str">
        <f t="shared" si="24"/>
        <v>No</v>
      </c>
      <c r="CR52" s="146" t="str">
        <f t="shared" si="25"/>
        <v>Also available</v>
      </c>
      <c r="CS52" s="146" t="str">
        <f t="shared" si="26"/>
        <v>Only available</v>
      </c>
      <c r="CT52" s="146" t="str">
        <f t="shared" si="27"/>
        <v>No</v>
      </c>
      <c r="CU52" s="146"/>
    </row>
    <row r="53" spans="1:99" ht="16.399999999999999" customHeight="1" x14ac:dyDescent="0.35">
      <c r="A53" s="145" t="str">
        <f t="shared" si="0"/>
        <v>Leeds Building Society</v>
      </c>
      <c r="B53" s="145" t="str">
        <f>_xlfn.IFNA(_xlfn.CONCAT(INDEX(Producer!$P:$P,MATCH($D53,Producer!$A:$A,0))," ",IF(INDEX(Producer!$N:$N,MATCH($D53,Producer!$A:$A,0))="Yes","Green ",""),IF(AND(INDEX(Producer!$L:$L,MATCH($D53,Producer!$A:$A,0))="No",INDEX(Producer!$C:$C,MATCH($D53,Producer!$A:$A,0))="Fixed"),"Flexit ",""),INDEX(Producer!$B:$B,MATCH($D53,Producer!$A:$A,0))," Year ",INDEX(Producer!$C:$C,MATCH($D53,Producer!$A:$A,0))," ",VALUE(INDEX(Producer!$E:$E,MATCH($D53,Producer!$A:$A,0)))*100,"% LTV",IF(INDEX(Producer!$N:$N,MATCH($D53,Producer!$A:$A,0))="Yes"," (EPC A-C)","")," - ",IF(INDEX(Producer!$D:$D,MATCH($D53,Producer!$A:$A,0))="DLY","Daily","Annual")),"")</f>
        <v>Intermediary Holiday Let 2 Year Fixed 75% LTV - Daily</v>
      </c>
      <c r="C53" s="146" t="str">
        <f>_xlfn.IFNA(INDEX(Producer!$Q:$Q,MATCH($D53,Producer!$A:$A,0)),"")</f>
        <v>BuyToLet</v>
      </c>
      <c r="D53" s="146">
        <f>IFERROR(VALUE(MID(Producer!$R$2,IF($D52="",1/0,FIND(_xlfn.CONCAT($D51,$D52),Producer!$R$2)+10),5)),"")</f>
        <v>54301</v>
      </c>
      <c r="E53" s="146" t="str">
        <f t="shared" si="1"/>
        <v>Stepped Fixed</v>
      </c>
      <c r="F53" s="146"/>
      <c r="G53" s="147">
        <f>_xlfn.IFNA(VALUE(INDEX(Producer!$F:$F,MATCH($D53,Producer!$A:$A,0)))*100,"")</f>
        <v>6.7</v>
      </c>
      <c r="H53" s="216">
        <f>_xlfn.IFNA(IFERROR(DATEVALUE(INDEX(Producer!$M:$M,MATCH($D53,Producer!$A:$A,0))),(INDEX(Producer!$M:$M,MATCH($D53,Producer!$A:$A,0)))),"")</f>
        <v>46418</v>
      </c>
      <c r="I53" s="217">
        <f>_xlfn.IFNA(VALUE(INDEX(Producer!$B:$B,MATCH($D53,Producer!$A:$A,0)))*12,"")</f>
        <v>24</v>
      </c>
      <c r="J53" s="146">
        <f>_xlfn.IFNA(IF(C53="Residential",IF(VALUE(INDEX(Producer!$B:$B,MATCH($D53,Producer!$A:$A,0)))&lt;5,Constants!$C$10,""),IF(VALUE(INDEX(Producer!$B:$B,MATCH($D53,Producer!$A:$A,0)))&lt;5,Constants!$C$11,"")),"")</f>
        <v>7.54</v>
      </c>
      <c r="K53" s="216">
        <f>_xlfn.IFNA(IF(($I53)&lt;60,DATE(YEAR(H53)+(5-VALUE(INDEX(Producer!$B:$B,MATCH($D53,Producer!$A:$A,0)))),MONTH(H53),DAY(H53)),""),"")</f>
        <v>47514</v>
      </c>
      <c r="L53" s="153">
        <f t="shared" si="2"/>
        <v>36</v>
      </c>
      <c r="M53" s="146"/>
      <c r="N53" s="148"/>
      <c r="O53" s="148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>
        <f>IF(D53="","",IF(C53="Residential",Constants!$B$10,Constants!$B$11))</f>
        <v>8.5399999999999991</v>
      </c>
      <c r="AL53" s="146" t="str">
        <f t="shared" si="3"/>
        <v>BVR</v>
      </c>
      <c r="AM53" s="206" t="str">
        <f t="shared" si="4"/>
        <v/>
      </c>
      <c r="AN53" s="146">
        <f t="shared" si="5"/>
        <v>10</v>
      </c>
      <c r="AO53" s="149" t="str">
        <f t="shared" si="6"/>
        <v>Remortgage</v>
      </c>
      <c r="AP53" s="150" t="str">
        <f t="shared" si="7"/>
        <v>ProductTransfer</v>
      </c>
      <c r="AQ53" s="146">
        <f>IFERROR(_xlfn.IFNA(IF($BA53="No",0,IF(INDEX(Constants!B:B,MATCH(($I53/12),Constants!$A:$A,0))=0,0,INDEX(Constants!B:B,MATCH(($I53/12),Constants!$A:$A,0)))),0),"")</f>
        <v>2.5</v>
      </c>
      <c r="AR53" s="146">
        <f>IFERROR(_xlfn.IFNA(IF($BA53="No",0,IF(INDEX(Constants!C:C,MATCH(($I53/12),Constants!$A:$A,0))=0,0,INDEX(Constants!C:C,MATCH(($I53/12),Constants!$A:$A,0)))),0),"")</f>
        <v>1.5</v>
      </c>
      <c r="AS53" s="146">
        <f>IFERROR(_xlfn.IFNA(IF($BA53="No",0,IF(INDEX(Constants!D:D,MATCH(($I53/12),Constants!$A:$A,0))=0,0,INDEX(Constants!D:D,MATCH(($I53/12),Constants!$A:$A,0)))),0),"")</f>
        <v>0</v>
      </c>
      <c r="AT53" s="146">
        <f>IFERROR(_xlfn.IFNA(IF($BA53="No",0,IF(INDEX(Constants!E:E,MATCH(($I53/12),Constants!$A:$A,0))=0,0,INDEX(Constants!E:E,MATCH(($I53/12),Constants!$A:$A,0)))),0),"")</f>
        <v>0</v>
      </c>
      <c r="AU53" s="146">
        <f>IFERROR(_xlfn.IFNA(IF($BA53="No",0,IF(INDEX(Constants!F:F,MATCH(($I53/12),Constants!$A:$A,0))=0,0,INDEX(Constants!F:F,MATCH(($I53/12),Constants!$A:$A,0)))),0),"")</f>
        <v>0</v>
      </c>
      <c r="AV53" s="146">
        <f>IFERROR(_xlfn.IFNA(IF($BA53="No",0,IF(INDEX(Constants!G:G,MATCH(($I53/12),Constants!$A:$A,0))=0,0,INDEX(Constants!G:G,MATCH(($I53/12),Constants!$A:$A,0)))),0),"")</f>
        <v>0</v>
      </c>
      <c r="AW53" s="146">
        <f>IFERROR(_xlfn.IFNA(IF($BA53="No",0,IF(INDEX(Constants!H:H,MATCH(($I53/12),Constants!$A:$A,0))=0,0,INDEX(Constants!H:H,MATCH(($I53/12),Constants!$A:$A,0)))),0),"")</f>
        <v>0</v>
      </c>
      <c r="AX53" s="146">
        <f>IFERROR(_xlfn.IFNA(IF($BA53="No",0,IF(INDEX(Constants!I:I,MATCH(($I53/12),Constants!$A:$A,0))=0,0,INDEX(Constants!I:I,MATCH(($I53/12),Constants!$A:$A,0)))),0),"")</f>
        <v>0</v>
      </c>
      <c r="AY53" s="146">
        <f>IFERROR(_xlfn.IFNA(IF($BA53="No",0,IF(INDEX(Constants!J:J,MATCH(($I53/12),Constants!$A:$A,0))=0,0,INDEX(Constants!J:J,MATCH(($I53/12),Constants!$A:$A,0)))),0),"")</f>
        <v>0</v>
      </c>
      <c r="AZ53" s="146">
        <f>IFERROR(_xlfn.IFNA(IF($BA53="No",0,IF(INDEX(Constants!K:K,MATCH(($I53/12),Constants!$A:$A,0))=0,0,INDEX(Constants!K:K,MATCH(($I53/12),Constants!$A:$A,0)))),0),"")</f>
        <v>0</v>
      </c>
      <c r="BA53" s="147" t="str">
        <f>_xlfn.IFNA(INDEX(Producer!$L:$L,MATCH($D53,Producer!$A:$A,0)),"")</f>
        <v>Yes</v>
      </c>
      <c r="BB53" s="146" t="str">
        <f>IFERROR(IF(AQ53=0,"",IF(($I53/12)=15,_xlfn.CONCAT(Constants!$N$7,TEXT(DATE(YEAR(H53)-(($I53/12)-3),MONTH(H53),DAY(H53)),"dd/mm/yyyy"),", ",Constants!$P$7,TEXT(DATE(YEAR(H53)-(($I53/12)-8),MONTH(H53),DAY(H53)),"dd/mm/yyyy"),", ",Constants!$T$7,TEXT(DATE(YEAR(H53)-(($I53/12)-11),MONTH(H53),DAY(H53)),"dd/mm/yyyy"),", ",Constants!$V$7,TEXT(DATE(YEAR(H53)-(($I53/12)-13),MONTH(H53),DAY(H53)),"dd/mm/yyyy"),", ",Constants!$W$7,TEXT($H53,"dd/mm/yyyy")),IF(($I53/12)=10,_xlfn.CONCAT(Constants!$N$6,TEXT(DATE(YEAR(H53)-(($I53/12)-2),MONTH(H53),DAY(H53)),"dd/mm/yyyy"),", ",Constants!$P$6,TEXT(DATE(YEAR(H53)-(($I53/12)-6),MONTH(H53),DAY(H53)),"dd/mm/yyyy"),", ",Constants!$T$6,TEXT(DATE(YEAR(H53)-(($I53/12)-8),MONTH(H53),DAY(H53)),"dd/mm/yyyy"),", ",Constants!$V$6,TEXT(DATE(YEAR(H53)-(($I53/12)-9),MONTH(H53),DAY(H53)),"dd/mm/yyyy"),", ",Constants!$W$6,TEXT($H53,"dd/mm/yyyy")),IF(($I53/12)=5,_xlfn.CONCAT(Constants!$N$5,TEXT(DATE(YEAR(H53)-(($I53/12)-1),MONTH(H53),DAY(H53)),"dd/mm/yyyy"),", ",Constants!$O$5,TEXT(DATE(YEAR(H53)-(($I53/12)-2),MONTH(H53),DAY(H53)),"dd/mm/yyyy"),", ",Constants!$P$5,TEXT(DATE(YEAR(H53)-(($I53/12)-3),MONTH(H53),DAY(H53)),"dd/mm/yyyy"),", ",Constants!$Q$5,TEXT(DATE(YEAR(H53)-(($I53/12)-4),MONTH(H53),DAY(H53)),"dd/mm/yyyy"),", ",Constants!$R$5,TEXT($H53,"dd/mm/yyyy")),IF(($I53/12)=3,_xlfn.CONCAT(Constants!$N$4,TEXT(DATE(YEAR(H53)-(($I53/12)-1),MONTH(H53),DAY(H53)),"dd/mm/yyyy"),", ",Constants!$O$4,TEXT(DATE(YEAR(H53)-(($I53/12)-2),MONTH(H53),DAY(H53)),"dd/mm/yyyy"),", ",Constants!$P$4,TEXT($H53,"dd/mm/yyyy")),IF(($I53/12)=2,_xlfn.CONCAT(Constants!$N$3,TEXT(DATE(YEAR(H53)-(($I53/12)-1),MONTH(H53),DAY(H53)),"dd/mm/yyyy"),", ",Constants!$O$3,TEXT($H53,"dd/mm/yyyy")),IF(($I53/12)=1,_xlfn.CONCAT(Constants!$N$2,TEXT($H53,"dd/mm/yyyy")),"Update Constants"))))))),"")</f>
        <v>2.5% to 31/01/2026, 1.5% to 31/01/2027</v>
      </c>
      <c r="BC53" s="147">
        <f>_xlfn.IFNA(VALUE(INDEX(Producer!$K:$K,MATCH($D53,Producer!$A:$A,0))),"")</f>
        <v>0</v>
      </c>
      <c r="BD53" s="147" t="str">
        <f>_xlfn.IFNA(INDEX(Producer!$I:$I,MATCH($D53,Producer!$A:$A,0)),"")</f>
        <v>No</v>
      </c>
      <c r="BE53" s="147" t="str">
        <f t="shared" si="8"/>
        <v>Yes</v>
      </c>
      <c r="BF53" s="147"/>
      <c r="BG53" s="147"/>
      <c r="BH53" s="151">
        <f>_xlfn.IFNA(INDEX(Constants!$B:$B,MATCH(BC53,Constants!A:A,0)),"")</f>
        <v>0</v>
      </c>
      <c r="BI53" s="147">
        <f>IF(LEFT(B53,15)="Limited Company",Constants!$D$16,IFERROR(_xlfn.IFNA(IF(C53="Residential",IF(BK53&lt;75,INDEX(Constants!$B:$B,MATCH(VALUE(60)/100,Constants!$A:$A,0)),INDEX(Constants!$B:$B,MATCH(VALUE(BK53)/100,Constants!$A:$A,0))),IF(BK53&lt;60,INDEX(Constants!$C:$C,MATCH(VALUE(60)/100,Constants!$A:$A,0)),INDEX(Constants!$C:$C,MATCH(VALUE(BK53)/100,Constants!$A:$A,0)))),""),""))</f>
        <v>1000000</v>
      </c>
      <c r="BJ53" s="147">
        <f t="shared" si="9"/>
        <v>0</v>
      </c>
      <c r="BK53" s="147">
        <f>_xlfn.IFNA(VALUE(INDEX(Producer!$E:$E,MATCH($D53,Producer!$A:$A,0)))*100,"")</f>
        <v>75</v>
      </c>
      <c r="BL53" s="146" t="str">
        <f>_xlfn.IFNA(IF(IFERROR(FIND("Part &amp; Part",B53),-10)&gt;0,"PP",IF(OR(LEFT(B53,25)="Residential Interest Only",INDEX(Producer!$P:$P,MATCH($D53,Producer!$A:$A,0))="IO",INDEX(Producer!$P:$P,MATCH($D53,Producer!$A:$A,0))="Retirement Interest Only"),"IO",IF($C53="BuyToLet","CI, IO","CI"))),"")</f>
        <v>CI, IO</v>
      </c>
      <c r="BM53" s="152">
        <f>_xlfn.IFNA(IF(BL53="IO",100%,IF(AND(INDEX(Producer!$P:$P,MATCH($D53,Producer!$A:$A,0))="Residential Interest Only Part &amp; Part",BK53=75),80%,IF(C53="BuyToLet",100%,IF(BL53="Interest Only",100%,IF(AND(INDEX(Producer!$P:$P,MATCH($D53,Producer!$A:$A,0))="Residential Interest Only Part &amp; Part",BK53=60),100%,""))))),"")</f>
        <v>1</v>
      </c>
      <c r="BN53" s="218" t="str">
        <f>_xlfn.IFNA(IF(VALUE(INDEX(Producer!$H:$H,MATCH($D53,Producer!$A:$A,0)))=0,"",VALUE(INDEX(Producer!$H:$H,MATCH($D53,Producer!$A:$A,0)))),"")</f>
        <v/>
      </c>
      <c r="BO53" s="153"/>
      <c r="BP53" s="153"/>
      <c r="BQ53" s="219">
        <f t="shared" si="10"/>
        <v>35</v>
      </c>
      <c r="BR53" s="146"/>
      <c r="BS53" s="146"/>
      <c r="BT53" s="146"/>
      <c r="BU53" s="146"/>
      <c r="BV53" s="219">
        <f t="shared" si="11"/>
        <v>199</v>
      </c>
      <c r="BW53" s="146"/>
      <c r="BX53" s="146"/>
      <c r="BY53" s="146" t="str">
        <f t="shared" si="12"/>
        <v>No</v>
      </c>
      <c r="BZ53" s="146" t="str">
        <f t="shared" si="13"/>
        <v>No</v>
      </c>
      <c r="CA53" s="146" t="str">
        <f t="shared" si="14"/>
        <v>No</v>
      </c>
      <c r="CB53" s="146" t="str">
        <f t="shared" si="15"/>
        <v>No</v>
      </c>
      <c r="CC53" s="146" t="str">
        <f>_xlfn.IFNA(IF(INDEX(Producer!$P:$P,MATCH($D53,Producer!$A:$A,0))="Help to Buy","Only available","No"),"")</f>
        <v>No</v>
      </c>
      <c r="CD53" s="146" t="str">
        <f>_xlfn.IFNA(IF(INDEX(Producer!$P:$P,MATCH($D53,Producer!$A:$A,0))="Shared Ownership","Only available","No"),"")</f>
        <v>No</v>
      </c>
      <c r="CE53" s="146" t="str">
        <f>_xlfn.IFNA(IF(INDEX(Producer!$P:$P,MATCH($D53,Producer!$A:$A,0))="Right to Buy","Only available","No"),"")</f>
        <v>No</v>
      </c>
      <c r="CF53" s="146" t="str">
        <f t="shared" si="16"/>
        <v>No</v>
      </c>
      <c r="CG53" s="146" t="str">
        <f>_xlfn.IFNA(IF(INDEX(Producer!$P:$P,MATCH($D53,Producer!$A:$A,0))="Retirement Interest Only","Only available","No"),"")</f>
        <v>No</v>
      </c>
      <c r="CH53" s="146" t="str">
        <f t="shared" si="17"/>
        <v>No</v>
      </c>
      <c r="CI53" s="146" t="str">
        <f>_xlfn.IFNA(IF(INDEX(Producer!$P:$P,MATCH($D53,Producer!$A:$A,0))="Intermediary Holiday Let","Only available","No"),"")</f>
        <v>Only available</v>
      </c>
      <c r="CJ53" s="146" t="str">
        <f t="shared" si="18"/>
        <v>No</v>
      </c>
      <c r="CK53" s="146" t="str">
        <f>_xlfn.IFNA(IF(OR(INDEX(Producer!$P:$P,MATCH($D53,Producer!$A:$A,0))="Intermediary Small HMO",INDEX(Producer!$P:$P,MATCH($D53,Producer!$A:$A,0))="Intermediary Large HMO"),"Only available","No"),"")</f>
        <v>No</v>
      </c>
      <c r="CL53" s="146" t="str">
        <f t="shared" si="19"/>
        <v>Also available</v>
      </c>
      <c r="CM53" s="146" t="str">
        <f t="shared" si="20"/>
        <v>Also available</v>
      </c>
      <c r="CN53" s="146" t="str">
        <f t="shared" si="21"/>
        <v>No</v>
      </c>
      <c r="CO53" s="146" t="str">
        <f t="shared" si="22"/>
        <v>Also available</v>
      </c>
      <c r="CP53" s="146" t="str">
        <f t="shared" si="23"/>
        <v>No</v>
      </c>
      <c r="CQ53" s="146" t="str">
        <f t="shared" si="24"/>
        <v>No</v>
      </c>
      <c r="CR53" s="146" t="str">
        <f t="shared" si="25"/>
        <v>Also available</v>
      </c>
      <c r="CS53" s="146" t="str">
        <f t="shared" si="26"/>
        <v>Only available</v>
      </c>
      <c r="CT53" s="146" t="str">
        <f t="shared" si="27"/>
        <v>No</v>
      </c>
      <c r="CU53" s="146"/>
    </row>
    <row r="54" spans="1:99" ht="16.399999999999999" customHeight="1" x14ac:dyDescent="0.35">
      <c r="A54" s="145" t="str">
        <f t="shared" si="0"/>
        <v>Leeds Building Society</v>
      </c>
      <c r="B54" s="145" t="str">
        <f>_xlfn.IFNA(_xlfn.CONCAT(INDEX(Producer!$P:$P,MATCH($D54,Producer!$A:$A,0))," ",IF(INDEX(Producer!$N:$N,MATCH($D54,Producer!$A:$A,0))="Yes","Green ",""),IF(AND(INDEX(Producer!$L:$L,MATCH($D54,Producer!$A:$A,0))="No",INDEX(Producer!$C:$C,MATCH($D54,Producer!$A:$A,0))="Fixed"),"Flexit ",""),INDEX(Producer!$B:$B,MATCH($D54,Producer!$A:$A,0))," Year ",INDEX(Producer!$C:$C,MATCH($D54,Producer!$A:$A,0))," ",VALUE(INDEX(Producer!$E:$E,MATCH($D54,Producer!$A:$A,0)))*100,"% LTV",IF(INDEX(Producer!$N:$N,MATCH($D54,Producer!$A:$A,0))="Yes"," (EPC A-C)","")," - ",IF(INDEX(Producer!$D:$D,MATCH($D54,Producer!$A:$A,0))="DLY","Daily","Annual")),"")</f>
        <v>Intermediary Holiday Let 2 Year Fixed 125% LTV - Daily</v>
      </c>
      <c r="C54" s="146" t="str">
        <f>_xlfn.IFNA(INDEX(Producer!$Q:$Q,MATCH($D54,Producer!$A:$A,0)),"")</f>
        <v>BuyToLet</v>
      </c>
      <c r="D54" s="146">
        <f>IFERROR(VALUE(MID(Producer!$R$2,IF($D53="",1/0,FIND(_xlfn.CONCAT($D52,$D53),Producer!$R$2)+10),5)),"")</f>
        <v>54300</v>
      </c>
      <c r="E54" s="146" t="str">
        <f t="shared" si="1"/>
        <v>Stepped Fixed</v>
      </c>
      <c r="F54" s="146"/>
      <c r="G54" s="147">
        <f>_xlfn.IFNA(VALUE(INDEX(Producer!$F:$F,MATCH($D54,Producer!$A:$A,0)))*100,"")</f>
        <v>7.04</v>
      </c>
      <c r="H54" s="216">
        <f>_xlfn.IFNA(IFERROR(DATEVALUE(INDEX(Producer!$M:$M,MATCH($D54,Producer!$A:$A,0))),(INDEX(Producer!$M:$M,MATCH($D54,Producer!$A:$A,0)))),"")</f>
        <v>46418</v>
      </c>
      <c r="I54" s="217">
        <f>_xlfn.IFNA(VALUE(INDEX(Producer!$B:$B,MATCH($D54,Producer!$A:$A,0)))*12,"")</f>
        <v>24</v>
      </c>
      <c r="J54" s="146">
        <f>_xlfn.IFNA(IF(C54="Residential",IF(VALUE(INDEX(Producer!$B:$B,MATCH($D54,Producer!$A:$A,0)))&lt;5,Constants!$C$10,""),IF(VALUE(INDEX(Producer!$B:$B,MATCH($D54,Producer!$A:$A,0)))&lt;5,Constants!$C$11,"")),"")</f>
        <v>7.54</v>
      </c>
      <c r="K54" s="216">
        <f>_xlfn.IFNA(IF(($I54)&lt;60,DATE(YEAR(H54)+(5-VALUE(INDEX(Producer!$B:$B,MATCH($D54,Producer!$A:$A,0)))),MONTH(H54),DAY(H54)),""),"")</f>
        <v>47514</v>
      </c>
      <c r="L54" s="153">
        <f t="shared" si="2"/>
        <v>36</v>
      </c>
      <c r="M54" s="146"/>
      <c r="N54" s="148"/>
      <c r="O54" s="148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>
        <f>IF(D54="","",IF(C54="Residential",Constants!$B$10,Constants!$B$11))</f>
        <v>8.5399999999999991</v>
      </c>
      <c r="AL54" s="146" t="str">
        <f t="shared" si="3"/>
        <v>BVR</v>
      </c>
      <c r="AM54" s="206" t="str">
        <f t="shared" si="4"/>
        <v/>
      </c>
      <c r="AN54" s="146">
        <f t="shared" si="5"/>
        <v>10</v>
      </c>
      <c r="AO54" s="149" t="str">
        <f t="shared" si="6"/>
        <v>Remortgage</v>
      </c>
      <c r="AP54" s="150" t="str">
        <f t="shared" si="7"/>
        <v>ProductTransfer</v>
      </c>
      <c r="AQ54" s="146">
        <f>IFERROR(_xlfn.IFNA(IF($BA54="No",0,IF(INDEX(Constants!B:B,MATCH(($I54/12),Constants!$A:$A,0))=0,0,INDEX(Constants!B:B,MATCH(($I54/12),Constants!$A:$A,0)))),0),"")</f>
        <v>2.5</v>
      </c>
      <c r="AR54" s="146">
        <f>IFERROR(_xlfn.IFNA(IF($BA54="No",0,IF(INDEX(Constants!C:C,MATCH(($I54/12),Constants!$A:$A,0))=0,0,INDEX(Constants!C:C,MATCH(($I54/12),Constants!$A:$A,0)))),0),"")</f>
        <v>1.5</v>
      </c>
      <c r="AS54" s="146">
        <f>IFERROR(_xlfn.IFNA(IF($BA54="No",0,IF(INDEX(Constants!D:D,MATCH(($I54/12),Constants!$A:$A,0))=0,0,INDEX(Constants!D:D,MATCH(($I54/12),Constants!$A:$A,0)))),0),"")</f>
        <v>0</v>
      </c>
      <c r="AT54" s="146">
        <f>IFERROR(_xlfn.IFNA(IF($BA54="No",0,IF(INDEX(Constants!E:E,MATCH(($I54/12),Constants!$A:$A,0))=0,0,INDEX(Constants!E:E,MATCH(($I54/12),Constants!$A:$A,0)))),0),"")</f>
        <v>0</v>
      </c>
      <c r="AU54" s="146">
        <f>IFERROR(_xlfn.IFNA(IF($BA54="No",0,IF(INDEX(Constants!F:F,MATCH(($I54/12),Constants!$A:$A,0))=0,0,INDEX(Constants!F:F,MATCH(($I54/12),Constants!$A:$A,0)))),0),"")</f>
        <v>0</v>
      </c>
      <c r="AV54" s="146">
        <f>IFERROR(_xlfn.IFNA(IF($BA54="No",0,IF(INDEX(Constants!G:G,MATCH(($I54/12),Constants!$A:$A,0))=0,0,INDEX(Constants!G:G,MATCH(($I54/12),Constants!$A:$A,0)))),0),"")</f>
        <v>0</v>
      </c>
      <c r="AW54" s="146">
        <f>IFERROR(_xlfn.IFNA(IF($BA54="No",0,IF(INDEX(Constants!H:H,MATCH(($I54/12),Constants!$A:$A,0))=0,0,INDEX(Constants!H:H,MATCH(($I54/12),Constants!$A:$A,0)))),0),"")</f>
        <v>0</v>
      </c>
      <c r="AX54" s="146">
        <f>IFERROR(_xlfn.IFNA(IF($BA54="No",0,IF(INDEX(Constants!I:I,MATCH(($I54/12),Constants!$A:$A,0))=0,0,INDEX(Constants!I:I,MATCH(($I54/12),Constants!$A:$A,0)))),0),"")</f>
        <v>0</v>
      </c>
      <c r="AY54" s="146">
        <f>IFERROR(_xlfn.IFNA(IF($BA54="No",0,IF(INDEX(Constants!J:J,MATCH(($I54/12),Constants!$A:$A,0))=0,0,INDEX(Constants!J:J,MATCH(($I54/12),Constants!$A:$A,0)))),0),"")</f>
        <v>0</v>
      </c>
      <c r="AZ54" s="146">
        <f>IFERROR(_xlfn.IFNA(IF($BA54="No",0,IF(INDEX(Constants!K:K,MATCH(($I54/12),Constants!$A:$A,0))=0,0,INDEX(Constants!K:K,MATCH(($I54/12),Constants!$A:$A,0)))),0),"")</f>
        <v>0</v>
      </c>
      <c r="BA54" s="147" t="str">
        <f>_xlfn.IFNA(INDEX(Producer!$L:$L,MATCH($D54,Producer!$A:$A,0)),"")</f>
        <v>Yes</v>
      </c>
      <c r="BB54" s="146" t="str">
        <f>IFERROR(IF(AQ54=0,"",IF(($I54/12)=15,_xlfn.CONCAT(Constants!$N$7,TEXT(DATE(YEAR(H54)-(($I54/12)-3),MONTH(H54),DAY(H54)),"dd/mm/yyyy"),", ",Constants!$P$7,TEXT(DATE(YEAR(H54)-(($I54/12)-8),MONTH(H54),DAY(H54)),"dd/mm/yyyy"),", ",Constants!$T$7,TEXT(DATE(YEAR(H54)-(($I54/12)-11),MONTH(H54),DAY(H54)),"dd/mm/yyyy"),", ",Constants!$V$7,TEXT(DATE(YEAR(H54)-(($I54/12)-13),MONTH(H54),DAY(H54)),"dd/mm/yyyy"),", ",Constants!$W$7,TEXT($H54,"dd/mm/yyyy")),IF(($I54/12)=10,_xlfn.CONCAT(Constants!$N$6,TEXT(DATE(YEAR(H54)-(($I54/12)-2),MONTH(H54),DAY(H54)),"dd/mm/yyyy"),", ",Constants!$P$6,TEXT(DATE(YEAR(H54)-(($I54/12)-6),MONTH(H54),DAY(H54)),"dd/mm/yyyy"),", ",Constants!$T$6,TEXT(DATE(YEAR(H54)-(($I54/12)-8),MONTH(H54),DAY(H54)),"dd/mm/yyyy"),", ",Constants!$V$6,TEXT(DATE(YEAR(H54)-(($I54/12)-9),MONTH(H54),DAY(H54)),"dd/mm/yyyy"),", ",Constants!$W$6,TEXT($H54,"dd/mm/yyyy")),IF(($I54/12)=5,_xlfn.CONCAT(Constants!$N$5,TEXT(DATE(YEAR(H54)-(($I54/12)-1),MONTH(H54),DAY(H54)),"dd/mm/yyyy"),", ",Constants!$O$5,TEXT(DATE(YEAR(H54)-(($I54/12)-2),MONTH(H54),DAY(H54)),"dd/mm/yyyy"),", ",Constants!$P$5,TEXT(DATE(YEAR(H54)-(($I54/12)-3),MONTH(H54),DAY(H54)),"dd/mm/yyyy"),", ",Constants!$Q$5,TEXT(DATE(YEAR(H54)-(($I54/12)-4),MONTH(H54),DAY(H54)),"dd/mm/yyyy"),", ",Constants!$R$5,TEXT($H54,"dd/mm/yyyy")),IF(($I54/12)=3,_xlfn.CONCAT(Constants!$N$4,TEXT(DATE(YEAR(H54)-(($I54/12)-1),MONTH(H54),DAY(H54)),"dd/mm/yyyy"),", ",Constants!$O$4,TEXT(DATE(YEAR(H54)-(($I54/12)-2),MONTH(H54),DAY(H54)),"dd/mm/yyyy"),", ",Constants!$P$4,TEXT($H54,"dd/mm/yyyy")),IF(($I54/12)=2,_xlfn.CONCAT(Constants!$N$3,TEXT(DATE(YEAR(H54)-(($I54/12)-1),MONTH(H54),DAY(H54)),"dd/mm/yyyy"),", ",Constants!$O$3,TEXT($H54,"dd/mm/yyyy")),IF(($I54/12)=1,_xlfn.CONCAT(Constants!$N$2,TEXT($H54,"dd/mm/yyyy")),"Update Constants"))))))),"")</f>
        <v>2.5% to 31/01/2026, 1.5% to 31/01/2027</v>
      </c>
      <c r="BC54" s="147">
        <f>_xlfn.IFNA(VALUE(INDEX(Producer!$K:$K,MATCH($D54,Producer!$A:$A,0))),"")</f>
        <v>0</v>
      </c>
      <c r="BD54" s="147" t="str">
        <f>_xlfn.IFNA(INDEX(Producer!$I:$I,MATCH($D54,Producer!$A:$A,0)),"")</f>
        <v>No</v>
      </c>
      <c r="BE54" s="147" t="str">
        <f t="shared" si="8"/>
        <v>Yes</v>
      </c>
      <c r="BF54" s="147"/>
      <c r="BG54" s="147"/>
      <c r="BH54" s="151">
        <f>_xlfn.IFNA(INDEX(Constants!$B:$B,MATCH(BC54,Constants!A:A,0)),"")</f>
        <v>0</v>
      </c>
      <c r="BI54" s="147" t="str">
        <f>IF(LEFT(B54,15)="Limited Company",Constants!$D$16,IFERROR(_xlfn.IFNA(IF(C54="Residential",IF(BK54&lt;75,INDEX(Constants!$B:$B,MATCH(VALUE(60)/100,Constants!$A:$A,0)),INDEX(Constants!$B:$B,MATCH(VALUE(BK54)/100,Constants!$A:$A,0))),IF(BK54&lt;60,INDEX(Constants!$C:$C,MATCH(VALUE(60)/100,Constants!$A:$A,0)),INDEX(Constants!$C:$C,MATCH(VALUE(BK54)/100,Constants!$A:$A,0)))),""),""))</f>
        <v/>
      </c>
      <c r="BJ54" s="147">
        <f t="shared" si="9"/>
        <v>0</v>
      </c>
      <c r="BK54" s="147">
        <f>_xlfn.IFNA(VALUE(INDEX(Producer!$E:$E,MATCH($D54,Producer!$A:$A,0)))*100,"")</f>
        <v>125</v>
      </c>
      <c r="BL54" s="146" t="str">
        <f>_xlfn.IFNA(IF(IFERROR(FIND("Part &amp; Part",B54),-10)&gt;0,"PP",IF(OR(LEFT(B54,25)="Residential Interest Only",INDEX(Producer!$P:$P,MATCH($D54,Producer!$A:$A,0))="IO",INDEX(Producer!$P:$P,MATCH($D54,Producer!$A:$A,0))="Retirement Interest Only"),"IO",IF($C54="BuyToLet","CI, IO","CI"))),"")</f>
        <v>CI, IO</v>
      </c>
      <c r="BM54" s="152">
        <f>_xlfn.IFNA(IF(BL54="IO",100%,IF(AND(INDEX(Producer!$P:$P,MATCH($D54,Producer!$A:$A,0))="Residential Interest Only Part &amp; Part",BK54=75),80%,IF(C54="BuyToLet",100%,IF(BL54="Interest Only",100%,IF(AND(INDEX(Producer!$P:$P,MATCH($D54,Producer!$A:$A,0))="Residential Interest Only Part &amp; Part",BK54=60),100%,""))))),"")</f>
        <v>1</v>
      </c>
      <c r="BN54" s="218" t="str">
        <f>_xlfn.IFNA(IF(VALUE(INDEX(Producer!$H:$H,MATCH($D54,Producer!$A:$A,0)))=0,"",VALUE(INDEX(Producer!$H:$H,MATCH($D54,Producer!$A:$A,0)))),"")</f>
        <v/>
      </c>
      <c r="BO54" s="153"/>
      <c r="BP54" s="153"/>
      <c r="BQ54" s="219">
        <f t="shared" si="10"/>
        <v>35</v>
      </c>
      <c r="BR54" s="146"/>
      <c r="BS54" s="146"/>
      <c r="BT54" s="146"/>
      <c r="BU54" s="146"/>
      <c r="BV54" s="219">
        <f t="shared" si="11"/>
        <v>199</v>
      </c>
      <c r="BW54" s="146"/>
      <c r="BX54" s="146"/>
      <c r="BY54" s="146" t="str">
        <f t="shared" si="12"/>
        <v>No</v>
      </c>
      <c r="BZ54" s="146" t="str">
        <f t="shared" si="13"/>
        <v>No</v>
      </c>
      <c r="CA54" s="146" t="str">
        <f t="shared" si="14"/>
        <v>No</v>
      </c>
      <c r="CB54" s="146" t="str">
        <f t="shared" si="15"/>
        <v>No</v>
      </c>
      <c r="CC54" s="146" t="str">
        <f>_xlfn.IFNA(IF(INDEX(Producer!$P:$P,MATCH($D54,Producer!$A:$A,0))="Help to Buy","Only available","No"),"")</f>
        <v>No</v>
      </c>
      <c r="CD54" s="146" t="str">
        <f>_xlfn.IFNA(IF(INDEX(Producer!$P:$P,MATCH($D54,Producer!$A:$A,0))="Shared Ownership","Only available","No"),"")</f>
        <v>No</v>
      </c>
      <c r="CE54" s="146" t="str">
        <f>_xlfn.IFNA(IF(INDEX(Producer!$P:$P,MATCH($D54,Producer!$A:$A,0))="Right to Buy","Only available","No"),"")</f>
        <v>No</v>
      </c>
      <c r="CF54" s="146" t="str">
        <f t="shared" si="16"/>
        <v>No</v>
      </c>
      <c r="CG54" s="146" t="str">
        <f>_xlfn.IFNA(IF(INDEX(Producer!$P:$P,MATCH($D54,Producer!$A:$A,0))="Retirement Interest Only","Only available","No"),"")</f>
        <v>No</v>
      </c>
      <c r="CH54" s="146" t="str">
        <f t="shared" si="17"/>
        <v>No</v>
      </c>
      <c r="CI54" s="146" t="str">
        <f>_xlfn.IFNA(IF(INDEX(Producer!$P:$P,MATCH($D54,Producer!$A:$A,0))="Intermediary Holiday Let","Only available","No"),"")</f>
        <v>Only available</v>
      </c>
      <c r="CJ54" s="146" t="str">
        <f t="shared" si="18"/>
        <v>No</v>
      </c>
      <c r="CK54" s="146" t="str">
        <f>_xlfn.IFNA(IF(OR(INDEX(Producer!$P:$P,MATCH($D54,Producer!$A:$A,0))="Intermediary Small HMO",INDEX(Producer!$P:$P,MATCH($D54,Producer!$A:$A,0))="Intermediary Large HMO"),"Only available","No"),"")</f>
        <v>No</v>
      </c>
      <c r="CL54" s="146" t="str">
        <f t="shared" si="19"/>
        <v>Also available</v>
      </c>
      <c r="CM54" s="146" t="str">
        <f t="shared" si="20"/>
        <v>Also available</v>
      </c>
      <c r="CN54" s="146" t="str">
        <f t="shared" si="21"/>
        <v>No</v>
      </c>
      <c r="CO54" s="146" t="str">
        <f t="shared" si="22"/>
        <v>No</v>
      </c>
      <c r="CP54" s="146" t="str">
        <f t="shared" si="23"/>
        <v>No</v>
      </c>
      <c r="CQ54" s="146" t="str">
        <f t="shared" si="24"/>
        <v>No</v>
      </c>
      <c r="CR54" s="146" t="str">
        <f t="shared" si="25"/>
        <v>Also available</v>
      </c>
      <c r="CS54" s="146" t="str">
        <f t="shared" si="26"/>
        <v>Only available</v>
      </c>
      <c r="CT54" s="146" t="str">
        <f t="shared" si="27"/>
        <v>No</v>
      </c>
      <c r="CU54" s="146"/>
    </row>
    <row r="55" spans="1:99" ht="16.399999999999999" customHeight="1" x14ac:dyDescent="0.35">
      <c r="A55" s="145" t="str">
        <f t="shared" si="0"/>
        <v>Leeds Building Society</v>
      </c>
      <c r="B55" s="145" t="str">
        <f>_xlfn.IFNA(_xlfn.CONCAT(INDEX(Producer!$P:$P,MATCH($D55,Producer!$A:$A,0))," ",IF(INDEX(Producer!$N:$N,MATCH($D55,Producer!$A:$A,0))="Yes","Green ",""),IF(AND(INDEX(Producer!$L:$L,MATCH($D55,Producer!$A:$A,0))="No",INDEX(Producer!$C:$C,MATCH($D55,Producer!$A:$A,0))="Fixed"),"Flexit ",""),INDEX(Producer!$B:$B,MATCH($D55,Producer!$A:$A,0))," Year ",INDEX(Producer!$C:$C,MATCH($D55,Producer!$A:$A,0))," ",VALUE(INDEX(Producer!$E:$E,MATCH($D55,Producer!$A:$A,0)))*100,"% LTV",IF(INDEX(Producer!$N:$N,MATCH($D55,Producer!$A:$A,0))="Yes"," (EPC A-C)","")," - ",IF(INDEX(Producer!$D:$D,MATCH($D55,Producer!$A:$A,0))="DLY","Daily","Annual")),"")</f>
        <v>Intermediary Holiday Let 5 Year Fixed 60% LTV - Daily</v>
      </c>
      <c r="C55" s="146" t="str">
        <f>_xlfn.IFNA(INDEX(Producer!$Q:$Q,MATCH($D55,Producer!$A:$A,0)),"")</f>
        <v>BuyToLet</v>
      </c>
      <c r="D55" s="146">
        <f>IFERROR(VALUE(MID(Producer!$R$2,IF($D54="",1/0,FIND(_xlfn.CONCAT($D53,$D54),Producer!$R$2)+10),5)),"")</f>
        <v>54298</v>
      </c>
      <c r="E55" s="146" t="str">
        <f t="shared" si="1"/>
        <v>Fixed</v>
      </c>
      <c r="F55" s="146"/>
      <c r="G55" s="147">
        <f>_xlfn.IFNA(VALUE(INDEX(Producer!$F:$F,MATCH($D55,Producer!$A:$A,0)))*100,"")</f>
        <v>5.1400000000000006</v>
      </c>
      <c r="H55" s="216">
        <f>_xlfn.IFNA(IFERROR(DATEVALUE(INDEX(Producer!$M:$M,MATCH($D55,Producer!$A:$A,0))),(INDEX(Producer!$M:$M,MATCH($D55,Producer!$A:$A,0)))),"")</f>
        <v>47514</v>
      </c>
      <c r="I55" s="217">
        <f>_xlfn.IFNA(VALUE(INDEX(Producer!$B:$B,MATCH($D55,Producer!$A:$A,0)))*12,"")</f>
        <v>60</v>
      </c>
      <c r="J55" s="146" t="str">
        <f>_xlfn.IFNA(IF(C55="Residential",IF(VALUE(INDEX(Producer!$B:$B,MATCH($D55,Producer!$A:$A,0)))&lt;5,Constants!$C$10,""),IF(VALUE(INDEX(Producer!$B:$B,MATCH($D55,Producer!$A:$A,0)))&lt;5,Constants!$C$11,"")),"")</f>
        <v/>
      </c>
      <c r="K55" s="216" t="str">
        <f>_xlfn.IFNA(IF(($I55)&lt;60,DATE(YEAR(H55)+(5-VALUE(INDEX(Producer!$B:$B,MATCH($D55,Producer!$A:$A,0)))),MONTH(H55),DAY(H55)),""),"")</f>
        <v/>
      </c>
      <c r="L55" s="153" t="str">
        <f t="shared" si="2"/>
        <v/>
      </c>
      <c r="M55" s="146"/>
      <c r="N55" s="148"/>
      <c r="O55" s="148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>
        <f>IF(D55="","",IF(C55="Residential",Constants!$B$10,Constants!$B$11))</f>
        <v>8.5399999999999991</v>
      </c>
      <c r="AL55" s="146" t="str">
        <f t="shared" si="3"/>
        <v>BVR</v>
      </c>
      <c r="AM55" s="206" t="str">
        <f t="shared" si="4"/>
        <v/>
      </c>
      <c r="AN55" s="146">
        <f t="shared" si="5"/>
        <v>10</v>
      </c>
      <c r="AO55" s="149" t="str">
        <f t="shared" si="6"/>
        <v>Remortgage</v>
      </c>
      <c r="AP55" s="150" t="str">
        <f t="shared" si="7"/>
        <v>ProductTransfer</v>
      </c>
      <c r="AQ55" s="146">
        <f>IFERROR(_xlfn.IFNA(IF($BA55="No",0,IF(INDEX(Constants!B:B,MATCH(($I55/12),Constants!$A:$A,0))=0,0,INDEX(Constants!B:B,MATCH(($I55/12),Constants!$A:$A,0)))),0),"")</f>
        <v>5</v>
      </c>
      <c r="AR55" s="146">
        <f>IFERROR(_xlfn.IFNA(IF($BA55="No",0,IF(INDEX(Constants!C:C,MATCH(($I55/12),Constants!$A:$A,0))=0,0,INDEX(Constants!C:C,MATCH(($I55/12),Constants!$A:$A,0)))),0),"")</f>
        <v>5</v>
      </c>
      <c r="AS55" s="146">
        <f>IFERROR(_xlfn.IFNA(IF($BA55="No",0,IF(INDEX(Constants!D:D,MATCH(($I55/12),Constants!$A:$A,0))=0,0,INDEX(Constants!D:D,MATCH(($I55/12),Constants!$A:$A,0)))),0),"")</f>
        <v>4</v>
      </c>
      <c r="AT55" s="146">
        <f>IFERROR(_xlfn.IFNA(IF($BA55="No",0,IF(INDEX(Constants!E:E,MATCH(($I55/12),Constants!$A:$A,0))=0,0,INDEX(Constants!E:E,MATCH(($I55/12),Constants!$A:$A,0)))),0),"")</f>
        <v>3</v>
      </c>
      <c r="AU55" s="146">
        <f>IFERROR(_xlfn.IFNA(IF($BA55="No",0,IF(INDEX(Constants!F:F,MATCH(($I55/12),Constants!$A:$A,0))=0,0,INDEX(Constants!F:F,MATCH(($I55/12),Constants!$A:$A,0)))),0),"")</f>
        <v>2</v>
      </c>
      <c r="AV55" s="146">
        <f>IFERROR(_xlfn.IFNA(IF($BA55="No",0,IF(INDEX(Constants!G:G,MATCH(($I55/12),Constants!$A:$A,0))=0,0,INDEX(Constants!G:G,MATCH(($I55/12),Constants!$A:$A,0)))),0),"")</f>
        <v>0</v>
      </c>
      <c r="AW55" s="146">
        <f>IFERROR(_xlfn.IFNA(IF($BA55="No",0,IF(INDEX(Constants!H:H,MATCH(($I55/12),Constants!$A:$A,0))=0,0,INDEX(Constants!H:H,MATCH(($I55/12),Constants!$A:$A,0)))),0),"")</f>
        <v>0</v>
      </c>
      <c r="AX55" s="146">
        <f>IFERROR(_xlfn.IFNA(IF($BA55="No",0,IF(INDEX(Constants!I:I,MATCH(($I55/12),Constants!$A:$A,0))=0,0,INDEX(Constants!I:I,MATCH(($I55/12),Constants!$A:$A,0)))),0),"")</f>
        <v>0</v>
      </c>
      <c r="AY55" s="146">
        <f>IFERROR(_xlfn.IFNA(IF($BA55="No",0,IF(INDEX(Constants!J:J,MATCH(($I55/12),Constants!$A:$A,0))=0,0,INDEX(Constants!J:J,MATCH(($I55/12),Constants!$A:$A,0)))),0),"")</f>
        <v>0</v>
      </c>
      <c r="AZ55" s="146">
        <f>IFERROR(_xlfn.IFNA(IF($BA55="No",0,IF(INDEX(Constants!K:K,MATCH(($I55/12),Constants!$A:$A,0))=0,0,INDEX(Constants!K:K,MATCH(($I55/12),Constants!$A:$A,0)))),0),"")</f>
        <v>0</v>
      </c>
      <c r="BA55" s="147" t="str">
        <f>_xlfn.IFNA(INDEX(Producer!$L:$L,MATCH($D55,Producer!$A:$A,0)),"")</f>
        <v>Yes</v>
      </c>
      <c r="BB55" s="146" t="str">
        <f>IFERROR(IF(AQ55=0,"",IF(($I55/12)=15,_xlfn.CONCAT(Constants!$N$7,TEXT(DATE(YEAR(H55)-(($I55/12)-3),MONTH(H55),DAY(H55)),"dd/mm/yyyy"),", ",Constants!$P$7,TEXT(DATE(YEAR(H55)-(($I55/12)-8),MONTH(H55),DAY(H55)),"dd/mm/yyyy"),", ",Constants!$T$7,TEXT(DATE(YEAR(H55)-(($I55/12)-11),MONTH(H55),DAY(H55)),"dd/mm/yyyy"),", ",Constants!$V$7,TEXT(DATE(YEAR(H55)-(($I55/12)-13),MONTH(H55),DAY(H55)),"dd/mm/yyyy"),", ",Constants!$W$7,TEXT($H55,"dd/mm/yyyy")),IF(($I55/12)=10,_xlfn.CONCAT(Constants!$N$6,TEXT(DATE(YEAR(H55)-(($I55/12)-2),MONTH(H55),DAY(H55)),"dd/mm/yyyy"),", ",Constants!$P$6,TEXT(DATE(YEAR(H55)-(($I55/12)-6),MONTH(H55),DAY(H55)),"dd/mm/yyyy"),", ",Constants!$T$6,TEXT(DATE(YEAR(H55)-(($I55/12)-8),MONTH(H55),DAY(H55)),"dd/mm/yyyy"),", ",Constants!$V$6,TEXT(DATE(YEAR(H55)-(($I55/12)-9),MONTH(H55),DAY(H55)),"dd/mm/yyyy"),", ",Constants!$W$6,TEXT($H55,"dd/mm/yyyy")),IF(($I55/12)=5,_xlfn.CONCAT(Constants!$N$5,TEXT(DATE(YEAR(H55)-(($I55/12)-1),MONTH(H55),DAY(H55)),"dd/mm/yyyy"),", ",Constants!$O$5,TEXT(DATE(YEAR(H55)-(($I55/12)-2),MONTH(H55),DAY(H55)),"dd/mm/yyyy"),", ",Constants!$P$5,TEXT(DATE(YEAR(H55)-(($I55/12)-3),MONTH(H55),DAY(H55)),"dd/mm/yyyy"),", ",Constants!$Q$5,TEXT(DATE(YEAR(H55)-(($I55/12)-4),MONTH(H55),DAY(H55)),"dd/mm/yyyy"),", ",Constants!$R$5,TEXT($H55,"dd/mm/yyyy")),IF(($I55/12)=3,_xlfn.CONCAT(Constants!$N$4,TEXT(DATE(YEAR(H55)-(($I55/12)-1),MONTH(H55),DAY(H55)),"dd/mm/yyyy"),", ",Constants!$O$4,TEXT(DATE(YEAR(H55)-(($I55/12)-2),MONTH(H55),DAY(H55)),"dd/mm/yyyy"),", ",Constants!$P$4,TEXT($H55,"dd/mm/yyyy")),IF(($I55/12)=2,_xlfn.CONCAT(Constants!$N$3,TEXT(DATE(YEAR(H55)-(($I55/12)-1),MONTH(H55),DAY(H55)),"dd/mm/yyyy"),", ",Constants!$O$3,TEXT($H55,"dd/mm/yyyy")),IF(($I55/12)=1,_xlfn.CONCAT(Constants!$N$2,TEXT($H55,"dd/mm/yyyy")),"Update Constants"))))))),"")</f>
        <v>5% to 31/01/2026, 5% to 31/01/2027, 4% to 31/01/2028, 3% to 31/01/2029, 2% to 31/01/2030</v>
      </c>
      <c r="BC55" s="147">
        <f>_xlfn.IFNA(VALUE(INDEX(Producer!$K:$K,MATCH($D55,Producer!$A:$A,0))),"")</f>
        <v>0</v>
      </c>
      <c r="BD55" s="147" t="str">
        <f>_xlfn.IFNA(INDEX(Producer!$I:$I,MATCH($D55,Producer!$A:$A,0)),"")</f>
        <v>No</v>
      </c>
      <c r="BE55" s="147" t="str">
        <f t="shared" si="8"/>
        <v>Yes</v>
      </c>
      <c r="BF55" s="147"/>
      <c r="BG55" s="147"/>
      <c r="BH55" s="151">
        <f>_xlfn.IFNA(INDEX(Constants!$B:$B,MATCH(BC55,Constants!A:A,0)),"")</f>
        <v>0</v>
      </c>
      <c r="BI55" s="147">
        <f>IF(LEFT(B55,15)="Limited Company",Constants!$D$16,IFERROR(_xlfn.IFNA(IF(C55="Residential",IF(BK55&lt;75,INDEX(Constants!$B:$B,MATCH(VALUE(60)/100,Constants!$A:$A,0)),INDEX(Constants!$B:$B,MATCH(VALUE(BK55)/100,Constants!$A:$A,0))),IF(BK55&lt;60,INDEX(Constants!$C:$C,MATCH(VALUE(60)/100,Constants!$A:$A,0)),INDEX(Constants!$C:$C,MATCH(VALUE(BK55)/100,Constants!$A:$A,0)))),""),""))</f>
        <v>1000000</v>
      </c>
      <c r="BJ55" s="147">
        <f t="shared" si="9"/>
        <v>0</v>
      </c>
      <c r="BK55" s="147">
        <f>_xlfn.IFNA(VALUE(INDEX(Producer!$E:$E,MATCH($D55,Producer!$A:$A,0)))*100,"")</f>
        <v>60</v>
      </c>
      <c r="BL55" s="146" t="str">
        <f>_xlfn.IFNA(IF(IFERROR(FIND("Part &amp; Part",B55),-10)&gt;0,"PP",IF(OR(LEFT(B55,25)="Residential Interest Only",INDEX(Producer!$P:$P,MATCH($D55,Producer!$A:$A,0))="IO",INDEX(Producer!$P:$P,MATCH($D55,Producer!$A:$A,0))="Retirement Interest Only"),"IO",IF($C55="BuyToLet","CI, IO","CI"))),"")</f>
        <v>CI, IO</v>
      </c>
      <c r="BM55" s="152">
        <f>_xlfn.IFNA(IF(BL55="IO",100%,IF(AND(INDEX(Producer!$P:$P,MATCH($D55,Producer!$A:$A,0))="Residential Interest Only Part &amp; Part",BK55=75),80%,IF(C55="BuyToLet",100%,IF(BL55="Interest Only",100%,IF(AND(INDEX(Producer!$P:$P,MATCH($D55,Producer!$A:$A,0))="Residential Interest Only Part &amp; Part",BK55=60),100%,""))))),"")</f>
        <v>1</v>
      </c>
      <c r="BN55" s="218" t="str">
        <f>_xlfn.IFNA(IF(VALUE(INDEX(Producer!$H:$H,MATCH($D55,Producer!$A:$A,0)))=0,"",VALUE(INDEX(Producer!$H:$H,MATCH($D55,Producer!$A:$A,0)))),"")</f>
        <v/>
      </c>
      <c r="BO55" s="153"/>
      <c r="BP55" s="153"/>
      <c r="BQ55" s="219">
        <f t="shared" si="10"/>
        <v>35</v>
      </c>
      <c r="BR55" s="146"/>
      <c r="BS55" s="146"/>
      <c r="BT55" s="146"/>
      <c r="BU55" s="146"/>
      <c r="BV55" s="219">
        <f t="shared" si="11"/>
        <v>199</v>
      </c>
      <c r="BW55" s="146"/>
      <c r="BX55" s="146"/>
      <c r="BY55" s="146" t="str">
        <f t="shared" si="12"/>
        <v>No</v>
      </c>
      <c r="BZ55" s="146" t="str">
        <f t="shared" si="13"/>
        <v>No</v>
      </c>
      <c r="CA55" s="146" t="str">
        <f t="shared" si="14"/>
        <v>No</v>
      </c>
      <c r="CB55" s="146" t="str">
        <f t="shared" si="15"/>
        <v>No</v>
      </c>
      <c r="CC55" s="146" t="str">
        <f>_xlfn.IFNA(IF(INDEX(Producer!$P:$P,MATCH($D55,Producer!$A:$A,0))="Help to Buy","Only available","No"),"")</f>
        <v>No</v>
      </c>
      <c r="CD55" s="146" t="str">
        <f>_xlfn.IFNA(IF(INDEX(Producer!$P:$P,MATCH($D55,Producer!$A:$A,0))="Shared Ownership","Only available","No"),"")</f>
        <v>No</v>
      </c>
      <c r="CE55" s="146" t="str">
        <f>_xlfn.IFNA(IF(INDEX(Producer!$P:$P,MATCH($D55,Producer!$A:$A,0))="Right to Buy","Only available","No"),"")</f>
        <v>No</v>
      </c>
      <c r="CF55" s="146" t="str">
        <f t="shared" si="16"/>
        <v>No</v>
      </c>
      <c r="CG55" s="146" t="str">
        <f>_xlfn.IFNA(IF(INDEX(Producer!$P:$P,MATCH($D55,Producer!$A:$A,0))="Retirement Interest Only","Only available","No"),"")</f>
        <v>No</v>
      </c>
      <c r="CH55" s="146" t="str">
        <f t="shared" si="17"/>
        <v>No</v>
      </c>
      <c r="CI55" s="146" t="str">
        <f>_xlfn.IFNA(IF(INDEX(Producer!$P:$P,MATCH($D55,Producer!$A:$A,0))="Intermediary Holiday Let","Only available","No"),"")</f>
        <v>Only available</v>
      </c>
      <c r="CJ55" s="146" t="str">
        <f t="shared" si="18"/>
        <v>No</v>
      </c>
      <c r="CK55" s="146" t="str">
        <f>_xlfn.IFNA(IF(OR(INDEX(Producer!$P:$P,MATCH($D55,Producer!$A:$A,0))="Intermediary Small HMO",INDEX(Producer!$P:$P,MATCH($D55,Producer!$A:$A,0))="Intermediary Large HMO"),"Only available","No"),"")</f>
        <v>No</v>
      </c>
      <c r="CL55" s="146" t="str">
        <f t="shared" si="19"/>
        <v>Also available</v>
      </c>
      <c r="CM55" s="146" t="str">
        <f t="shared" si="20"/>
        <v>Also available</v>
      </c>
      <c r="CN55" s="146" t="str">
        <f t="shared" si="21"/>
        <v>No</v>
      </c>
      <c r="CO55" s="146" t="str">
        <f t="shared" si="22"/>
        <v>Also available</v>
      </c>
      <c r="CP55" s="146" t="str">
        <f t="shared" si="23"/>
        <v>No</v>
      </c>
      <c r="CQ55" s="146" t="str">
        <f t="shared" si="24"/>
        <v>No</v>
      </c>
      <c r="CR55" s="146" t="str">
        <f t="shared" si="25"/>
        <v>Also available</v>
      </c>
      <c r="CS55" s="146" t="str">
        <f t="shared" si="26"/>
        <v>Only available</v>
      </c>
      <c r="CT55" s="146" t="str">
        <f t="shared" si="27"/>
        <v>No</v>
      </c>
      <c r="CU55" s="146"/>
    </row>
    <row r="56" spans="1:99" ht="16.399999999999999" customHeight="1" x14ac:dyDescent="0.35">
      <c r="A56" s="145" t="str">
        <f t="shared" si="0"/>
        <v>Leeds Building Society</v>
      </c>
      <c r="B56" s="145" t="str">
        <f>_xlfn.IFNA(_xlfn.CONCAT(INDEX(Producer!$P:$P,MATCH($D56,Producer!$A:$A,0))," ",IF(INDEX(Producer!$N:$N,MATCH($D56,Producer!$A:$A,0))="Yes","Green ",""),IF(AND(INDEX(Producer!$L:$L,MATCH($D56,Producer!$A:$A,0))="No",INDEX(Producer!$C:$C,MATCH($D56,Producer!$A:$A,0))="Fixed"),"Flexit ",""),INDEX(Producer!$B:$B,MATCH($D56,Producer!$A:$A,0))," Year ",INDEX(Producer!$C:$C,MATCH($D56,Producer!$A:$A,0))," ",VALUE(INDEX(Producer!$E:$E,MATCH($D56,Producer!$A:$A,0)))*100,"% LTV",IF(INDEX(Producer!$N:$N,MATCH($D56,Producer!$A:$A,0))="Yes"," (EPC A-C)","")," - ",IF(INDEX(Producer!$D:$D,MATCH($D56,Producer!$A:$A,0))="DLY","Daily","Annual")),"")</f>
        <v>Intermediary Holiday Let 5 Year Fixed 75% LTV - Daily</v>
      </c>
      <c r="C56" s="146" t="str">
        <f>_xlfn.IFNA(INDEX(Producer!$Q:$Q,MATCH($D56,Producer!$A:$A,0)),"")</f>
        <v>BuyToLet</v>
      </c>
      <c r="D56" s="146">
        <f>IFERROR(VALUE(MID(Producer!$R$2,IF($D55="",1/0,FIND(_xlfn.CONCAT($D54,$D55),Producer!$R$2)+10),5)),"")</f>
        <v>54297</v>
      </c>
      <c r="E56" s="146" t="str">
        <f t="shared" si="1"/>
        <v>Fixed</v>
      </c>
      <c r="F56" s="146"/>
      <c r="G56" s="147">
        <f>_xlfn.IFNA(VALUE(INDEX(Producer!$F:$F,MATCH($D56,Producer!$A:$A,0)))*100,"")</f>
        <v>6.1899999999999995</v>
      </c>
      <c r="H56" s="216">
        <f>_xlfn.IFNA(IFERROR(DATEVALUE(INDEX(Producer!$M:$M,MATCH($D56,Producer!$A:$A,0))),(INDEX(Producer!$M:$M,MATCH($D56,Producer!$A:$A,0)))),"")</f>
        <v>47514</v>
      </c>
      <c r="I56" s="217">
        <f>_xlfn.IFNA(VALUE(INDEX(Producer!$B:$B,MATCH($D56,Producer!$A:$A,0)))*12,"")</f>
        <v>60</v>
      </c>
      <c r="J56" s="146" t="str">
        <f>_xlfn.IFNA(IF(C56="Residential",IF(VALUE(INDEX(Producer!$B:$B,MATCH($D56,Producer!$A:$A,0)))&lt;5,Constants!$C$10,""),IF(VALUE(INDEX(Producer!$B:$B,MATCH($D56,Producer!$A:$A,0)))&lt;5,Constants!$C$11,"")),"")</f>
        <v/>
      </c>
      <c r="K56" s="216" t="str">
        <f>_xlfn.IFNA(IF(($I56)&lt;60,DATE(YEAR(H56)+(5-VALUE(INDEX(Producer!$B:$B,MATCH($D56,Producer!$A:$A,0)))),MONTH(H56),DAY(H56)),""),"")</f>
        <v/>
      </c>
      <c r="L56" s="153" t="str">
        <f t="shared" si="2"/>
        <v/>
      </c>
      <c r="M56" s="146"/>
      <c r="N56" s="148"/>
      <c r="O56" s="148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>
        <f>IF(D56="","",IF(C56="Residential",Constants!$B$10,Constants!$B$11))</f>
        <v>8.5399999999999991</v>
      </c>
      <c r="AL56" s="146" t="str">
        <f t="shared" si="3"/>
        <v>BVR</v>
      </c>
      <c r="AM56" s="206" t="str">
        <f t="shared" si="4"/>
        <v/>
      </c>
      <c r="AN56" s="146">
        <f t="shared" si="5"/>
        <v>10</v>
      </c>
      <c r="AO56" s="149" t="str">
        <f t="shared" si="6"/>
        <v>Remortgage</v>
      </c>
      <c r="AP56" s="150" t="str">
        <f t="shared" si="7"/>
        <v>ProductTransfer</v>
      </c>
      <c r="AQ56" s="146">
        <f>IFERROR(_xlfn.IFNA(IF($BA56="No",0,IF(INDEX(Constants!B:B,MATCH(($I56/12),Constants!$A:$A,0))=0,0,INDEX(Constants!B:B,MATCH(($I56/12),Constants!$A:$A,0)))),0),"")</f>
        <v>5</v>
      </c>
      <c r="AR56" s="146">
        <f>IFERROR(_xlfn.IFNA(IF($BA56="No",0,IF(INDEX(Constants!C:C,MATCH(($I56/12),Constants!$A:$A,0))=0,0,INDEX(Constants!C:C,MATCH(($I56/12),Constants!$A:$A,0)))),0),"")</f>
        <v>5</v>
      </c>
      <c r="AS56" s="146">
        <f>IFERROR(_xlfn.IFNA(IF($BA56="No",0,IF(INDEX(Constants!D:D,MATCH(($I56/12),Constants!$A:$A,0))=0,0,INDEX(Constants!D:D,MATCH(($I56/12),Constants!$A:$A,0)))),0),"")</f>
        <v>4</v>
      </c>
      <c r="AT56" s="146">
        <f>IFERROR(_xlfn.IFNA(IF($BA56="No",0,IF(INDEX(Constants!E:E,MATCH(($I56/12),Constants!$A:$A,0))=0,0,INDEX(Constants!E:E,MATCH(($I56/12),Constants!$A:$A,0)))),0),"")</f>
        <v>3</v>
      </c>
      <c r="AU56" s="146">
        <f>IFERROR(_xlfn.IFNA(IF($BA56="No",0,IF(INDEX(Constants!F:F,MATCH(($I56/12),Constants!$A:$A,0))=0,0,INDEX(Constants!F:F,MATCH(($I56/12),Constants!$A:$A,0)))),0),"")</f>
        <v>2</v>
      </c>
      <c r="AV56" s="146">
        <f>IFERROR(_xlfn.IFNA(IF($BA56="No",0,IF(INDEX(Constants!G:G,MATCH(($I56/12),Constants!$A:$A,0))=0,0,INDEX(Constants!G:G,MATCH(($I56/12),Constants!$A:$A,0)))),0),"")</f>
        <v>0</v>
      </c>
      <c r="AW56" s="146">
        <f>IFERROR(_xlfn.IFNA(IF($BA56="No",0,IF(INDEX(Constants!H:H,MATCH(($I56/12),Constants!$A:$A,0))=0,0,INDEX(Constants!H:H,MATCH(($I56/12),Constants!$A:$A,0)))),0),"")</f>
        <v>0</v>
      </c>
      <c r="AX56" s="146">
        <f>IFERROR(_xlfn.IFNA(IF($BA56="No",0,IF(INDEX(Constants!I:I,MATCH(($I56/12),Constants!$A:$A,0))=0,0,INDEX(Constants!I:I,MATCH(($I56/12),Constants!$A:$A,0)))),0),"")</f>
        <v>0</v>
      </c>
      <c r="AY56" s="146">
        <f>IFERROR(_xlfn.IFNA(IF($BA56="No",0,IF(INDEX(Constants!J:J,MATCH(($I56/12),Constants!$A:$A,0))=0,0,INDEX(Constants!J:J,MATCH(($I56/12),Constants!$A:$A,0)))),0),"")</f>
        <v>0</v>
      </c>
      <c r="AZ56" s="146">
        <f>IFERROR(_xlfn.IFNA(IF($BA56="No",0,IF(INDEX(Constants!K:K,MATCH(($I56/12),Constants!$A:$A,0))=0,0,INDEX(Constants!K:K,MATCH(($I56/12),Constants!$A:$A,0)))),0),"")</f>
        <v>0</v>
      </c>
      <c r="BA56" s="147" t="str">
        <f>_xlfn.IFNA(INDEX(Producer!$L:$L,MATCH($D56,Producer!$A:$A,0)),"")</f>
        <v>Yes</v>
      </c>
      <c r="BB56" s="146" t="str">
        <f>IFERROR(IF(AQ56=0,"",IF(($I56/12)=15,_xlfn.CONCAT(Constants!$N$7,TEXT(DATE(YEAR(H56)-(($I56/12)-3),MONTH(H56),DAY(H56)),"dd/mm/yyyy"),", ",Constants!$P$7,TEXT(DATE(YEAR(H56)-(($I56/12)-8),MONTH(H56),DAY(H56)),"dd/mm/yyyy"),", ",Constants!$T$7,TEXT(DATE(YEAR(H56)-(($I56/12)-11),MONTH(H56),DAY(H56)),"dd/mm/yyyy"),", ",Constants!$V$7,TEXT(DATE(YEAR(H56)-(($I56/12)-13),MONTH(H56),DAY(H56)),"dd/mm/yyyy"),", ",Constants!$W$7,TEXT($H56,"dd/mm/yyyy")),IF(($I56/12)=10,_xlfn.CONCAT(Constants!$N$6,TEXT(DATE(YEAR(H56)-(($I56/12)-2),MONTH(H56),DAY(H56)),"dd/mm/yyyy"),", ",Constants!$P$6,TEXT(DATE(YEAR(H56)-(($I56/12)-6),MONTH(H56),DAY(H56)),"dd/mm/yyyy"),", ",Constants!$T$6,TEXT(DATE(YEAR(H56)-(($I56/12)-8),MONTH(H56),DAY(H56)),"dd/mm/yyyy"),", ",Constants!$V$6,TEXT(DATE(YEAR(H56)-(($I56/12)-9),MONTH(H56),DAY(H56)),"dd/mm/yyyy"),", ",Constants!$W$6,TEXT($H56,"dd/mm/yyyy")),IF(($I56/12)=5,_xlfn.CONCAT(Constants!$N$5,TEXT(DATE(YEAR(H56)-(($I56/12)-1),MONTH(H56),DAY(H56)),"dd/mm/yyyy"),", ",Constants!$O$5,TEXT(DATE(YEAR(H56)-(($I56/12)-2),MONTH(H56),DAY(H56)),"dd/mm/yyyy"),", ",Constants!$P$5,TEXT(DATE(YEAR(H56)-(($I56/12)-3),MONTH(H56),DAY(H56)),"dd/mm/yyyy"),", ",Constants!$Q$5,TEXT(DATE(YEAR(H56)-(($I56/12)-4),MONTH(H56),DAY(H56)),"dd/mm/yyyy"),", ",Constants!$R$5,TEXT($H56,"dd/mm/yyyy")),IF(($I56/12)=3,_xlfn.CONCAT(Constants!$N$4,TEXT(DATE(YEAR(H56)-(($I56/12)-1),MONTH(H56),DAY(H56)),"dd/mm/yyyy"),", ",Constants!$O$4,TEXT(DATE(YEAR(H56)-(($I56/12)-2),MONTH(H56),DAY(H56)),"dd/mm/yyyy"),", ",Constants!$P$4,TEXT($H56,"dd/mm/yyyy")),IF(($I56/12)=2,_xlfn.CONCAT(Constants!$N$3,TEXT(DATE(YEAR(H56)-(($I56/12)-1),MONTH(H56),DAY(H56)),"dd/mm/yyyy"),", ",Constants!$O$3,TEXT($H56,"dd/mm/yyyy")),IF(($I56/12)=1,_xlfn.CONCAT(Constants!$N$2,TEXT($H56,"dd/mm/yyyy")),"Update Constants"))))))),"")</f>
        <v>5% to 31/01/2026, 5% to 31/01/2027, 4% to 31/01/2028, 3% to 31/01/2029, 2% to 31/01/2030</v>
      </c>
      <c r="BC56" s="147">
        <f>_xlfn.IFNA(VALUE(INDEX(Producer!$K:$K,MATCH($D56,Producer!$A:$A,0))),"")</f>
        <v>0</v>
      </c>
      <c r="BD56" s="147" t="str">
        <f>_xlfn.IFNA(INDEX(Producer!$I:$I,MATCH($D56,Producer!$A:$A,0)),"")</f>
        <v>No</v>
      </c>
      <c r="BE56" s="147" t="str">
        <f t="shared" si="8"/>
        <v>Yes</v>
      </c>
      <c r="BF56" s="147"/>
      <c r="BG56" s="147"/>
      <c r="BH56" s="151">
        <f>_xlfn.IFNA(INDEX(Constants!$B:$B,MATCH(BC56,Constants!A:A,0)),"")</f>
        <v>0</v>
      </c>
      <c r="BI56" s="147">
        <f>IF(LEFT(B56,15)="Limited Company",Constants!$D$16,IFERROR(_xlfn.IFNA(IF(C56="Residential",IF(BK56&lt;75,INDEX(Constants!$B:$B,MATCH(VALUE(60)/100,Constants!$A:$A,0)),INDEX(Constants!$B:$B,MATCH(VALUE(BK56)/100,Constants!$A:$A,0))),IF(BK56&lt;60,INDEX(Constants!$C:$C,MATCH(VALUE(60)/100,Constants!$A:$A,0)),INDEX(Constants!$C:$C,MATCH(VALUE(BK56)/100,Constants!$A:$A,0)))),""),""))</f>
        <v>1000000</v>
      </c>
      <c r="BJ56" s="147">
        <f t="shared" si="9"/>
        <v>0</v>
      </c>
      <c r="BK56" s="147">
        <f>_xlfn.IFNA(VALUE(INDEX(Producer!$E:$E,MATCH($D56,Producer!$A:$A,0)))*100,"")</f>
        <v>75</v>
      </c>
      <c r="BL56" s="146" t="str">
        <f>_xlfn.IFNA(IF(IFERROR(FIND("Part &amp; Part",B56),-10)&gt;0,"PP",IF(OR(LEFT(B56,25)="Residential Interest Only",INDEX(Producer!$P:$P,MATCH($D56,Producer!$A:$A,0))="IO",INDEX(Producer!$P:$P,MATCH($D56,Producer!$A:$A,0))="Retirement Interest Only"),"IO",IF($C56="BuyToLet","CI, IO","CI"))),"")</f>
        <v>CI, IO</v>
      </c>
      <c r="BM56" s="152">
        <f>_xlfn.IFNA(IF(BL56="IO",100%,IF(AND(INDEX(Producer!$P:$P,MATCH($D56,Producer!$A:$A,0))="Residential Interest Only Part &amp; Part",BK56=75),80%,IF(C56="BuyToLet",100%,IF(BL56="Interest Only",100%,IF(AND(INDEX(Producer!$P:$P,MATCH($D56,Producer!$A:$A,0))="Residential Interest Only Part &amp; Part",BK56=60),100%,""))))),"")</f>
        <v>1</v>
      </c>
      <c r="BN56" s="218" t="str">
        <f>_xlfn.IFNA(IF(VALUE(INDEX(Producer!$H:$H,MATCH($D56,Producer!$A:$A,0)))=0,"",VALUE(INDEX(Producer!$H:$H,MATCH($D56,Producer!$A:$A,0)))),"")</f>
        <v/>
      </c>
      <c r="BO56" s="153"/>
      <c r="BP56" s="153"/>
      <c r="BQ56" s="219">
        <f t="shared" si="10"/>
        <v>35</v>
      </c>
      <c r="BR56" s="146"/>
      <c r="BS56" s="146"/>
      <c r="BT56" s="146"/>
      <c r="BU56" s="146"/>
      <c r="BV56" s="219">
        <f t="shared" si="11"/>
        <v>199</v>
      </c>
      <c r="BW56" s="146"/>
      <c r="BX56" s="146"/>
      <c r="BY56" s="146" t="str">
        <f t="shared" si="12"/>
        <v>No</v>
      </c>
      <c r="BZ56" s="146" t="str">
        <f t="shared" si="13"/>
        <v>No</v>
      </c>
      <c r="CA56" s="146" t="str">
        <f t="shared" si="14"/>
        <v>No</v>
      </c>
      <c r="CB56" s="146" t="str">
        <f t="shared" si="15"/>
        <v>No</v>
      </c>
      <c r="CC56" s="146" t="str">
        <f>_xlfn.IFNA(IF(INDEX(Producer!$P:$P,MATCH($D56,Producer!$A:$A,0))="Help to Buy","Only available","No"),"")</f>
        <v>No</v>
      </c>
      <c r="CD56" s="146" t="str">
        <f>_xlfn.IFNA(IF(INDEX(Producer!$P:$P,MATCH($D56,Producer!$A:$A,0))="Shared Ownership","Only available","No"),"")</f>
        <v>No</v>
      </c>
      <c r="CE56" s="146" t="str">
        <f>_xlfn.IFNA(IF(INDEX(Producer!$P:$P,MATCH($D56,Producer!$A:$A,0))="Right to Buy","Only available","No"),"")</f>
        <v>No</v>
      </c>
      <c r="CF56" s="146" t="str">
        <f t="shared" si="16"/>
        <v>No</v>
      </c>
      <c r="CG56" s="146" t="str">
        <f>_xlfn.IFNA(IF(INDEX(Producer!$P:$P,MATCH($D56,Producer!$A:$A,0))="Retirement Interest Only","Only available","No"),"")</f>
        <v>No</v>
      </c>
      <c r="CH56" s="146" t="str">
        <f t="shared" si="17"/>
        <v>No</v>
      </c>
      <c r="CI56" s="146" t="str">
        <f>_xlfn.IFNA(IF(INDEX(Producer!$P:$P,MATCH($D56,Producer!$A:$A,0))="Intermediary Holiday Let","Only available","No"),"")</f>
        <v>Only available</v>
      </c>
      <c r="CJ56" s="146" t="str">
        <f t="shared" si="18"/>
        <v>No</v>
      </c>
      <c r="CK56" s="146" t="str">
        <f>_xlfn.IFNA(IF(OR(INDEX(Producer!$P:$P,MATCH($D56,Producer!$A:$A,0))="Intermediary Small HMO",INDEX(Producer!$P:$P,MATCH($D56,Producer!$A:$A,0))="Intermediary Large HMO"),"Only available","No"),"")</f>
        <v>No</v>
      </c>
      <c r="CL56" s="146" t="str">
        <f t="shared" si="19"/>
        <v>Also available</v>
      </c>
      <c r="CM56" s="146" t="str">
        <f t="shared" si="20"/>
        <v>Also available</v>
      </c>
      <c r="CN56" s="146" t="str">
        <f t="shared" si="21"/>
        <v>No</v>
      </c>
      <c r="CO56" s="146" t="str">
        <f t="shared" si="22"/>
        <v>Also available</v>
      </c>
      <c r="CP56" s="146" t="str">
        <f t="shared" si="23"/>
        <v>No</v>
      </c>
      <c r="CQ56" s="146" t="str">
        <f t="shared" si="24"/>
        <v>No</v>
      </c>
      <c r="CR56" s="146" t="str">
        <f t="shared" si="25"/>
        <v>Also available</v>
      </c>
      <c r="CS56" s="146" t="str">
        <f t="shared" si="26"/>
        <v>Only available</v>
      </c>
      <c r="CT56" s="146" t="str">
        <f t="shared" si="27"/>
        <v>No</v>
      </c>
      <c r="CU56" s="146"/>
    </row>
    <row r="57" spans="1:99" ht="16.399999999999999" customHeight="1" x14ac:dyDescent="0.35">
      <c r="A57" s="145" t="str">
        <f t="shared" si="0"/>
        <v>Leeds Building Society</v>
      </c>
      <c r="B57" s="145" t="str">
        <f>_xlfn.IFNA(_xlfn.CONCAT(INDEX(Producer!$P:$P,MATCH($D57,Producer!$A:$A,0))," ",IF(INDEX(Producer!$N:$N,MATCH($D57,Producer!$A:$A,0))="Yes","Green ",""),IF(AND(INDEX(Producer!$L:$L,MATCH($D57,Producer!$A:$A,0))="No",INDEX(Producer!$C:$C,MATCH($D57,Producer!$A:$A,0))="Fixed"),"Flexit ",""),INDEX(Producer!$B:$B,MATCH($D57,Producer!$A:$A,0))," Year ",INDEX(Producer!$C:$C,MATCH($D57,Producer!$A:$A,0))," ",VALUE(INDEX(Producer!$E:$E,MATCH($D57,Producer!$A:$A,0)))*100,"% LTV",IF(INDEX(Producer!$N:$N,MATCH($D57,Producer!$A:$A,0))="Yes"," (EPC A-C)","")," - ",IF(INDEX(Producer!$D:$D,MATCH($D57,Producer!$A:$A,0))="DLY","Daily","Annual")),"")</f>
        <v>Shared Ownership 2 Year Fixed 85% LTV - Daily</v>
      </c>
      <c r="C57" s="146" t="str">
        <f>_xlfn.IFNA(INDEX(Producer!$Q:$Q,MATCH($D57,Producer!$A:$A,0)),"")</f>
        <v>Residential</v>
      </c>
      <c r="D57" s="146">
        <f>IFERROR(VALUE(MID(Producer!$R$2,IF($D56="",1/0,FIND(_xlfn.CONCAT($D55,$D56),Producer!$R$2)+10),5)),"")</f>
        <v>54305</v>
      </c>
      <c r="E57" s="146" t="str">
        <f t="shared" si="1"/>
        <v>Stepped Fixed</v>
      </c>
      <c r="F57" s="146"/>
      <c r="G57" s="147">
        <f>_xlfn.IFNA(VALUE(INDEX(Producer!$F:$F,MATCH($D57,Producer!$A:$A,0)))*100,"")</f>
        <v>4.6399999999999997</v>
      </c>
      <c r="H57" s="216">
        <f>_xlfn.IFNA(IFERROR(DATEVALUE(INDEX(Producer!$M:$M,MATCH($D57,Producer!$A:$A,0))),(INDEX(Producer!$M:$M,MATCH($D57,Producer!$A:$A,0)))),"")</f>
        <v>46418</v>
      </c>
      <c r="I57" s="217">
        <f>_xlfn.IFNA(VALUE(INDEX(Producer!$B:$B,MATCH($D57,Producer!$A:$A,0)))*12,"")</f>
        <v>24</v>
      </c>
      <c r="J57" s="146">
        <f>_xlfn.IFNA(IF(C57="Residential",IF(VALUE(INDEX(Producer!$B:$B,MATCH($D57,Producer!$A:$A,0)))&lt;5,Constants!$C$10,""),IF(VALUE(INDEX(Producer!$B:$B,MATCH($D57,Producer!$A:$A,0)))&lt;5,Constants!$C$11,"")),"")</f>
        <v>7.49</v>
      </c>
      <c r="K57" s="216">
        <f>_xlfn.IFNA(IF(($I57)&lt;60,DATE(YEAR(H57)+(5-VALUE(INDEX(Producer!$B:$B,MATCH($D57,Producer!$A:$A,0)))),MONTH(H57),DAY(H57)),""),"")</f>
        <v>47514</v>
      </c>
      <c r="L57" s="153">
        <f t="shared" si="2"/>
        <v>36</v>
      </c>
      <c r="M57" s="146"/>
      <c r="N57" s="148"/>
      <c r="O57" s="148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>
        <f>IF(D57="","",IF(C57="Residential",Constants!$B$10,Constants!$B$11))</f>
        <v>8.24</v>
      </c>
      <c r="AL57" s="146" t="str">
        <f t="shared" si="3"/>
        <v>SVR</v>
      </c>
      <c r="AM57" s="206" t="str">
        <f t="shared" si="4"/>
        <v/>
      </c>
      <c r="AN57" s="146">
        <f t="shared" si="5"/>
        <v>10</v>
      </c>
      <c r="AO57" s="149" t="str">
        <f t="shared" si="6"/>
        <v>Remortgage</v>
      </c>
      <c r="AP57" s="150" t="str">
        <f t="shared" si="7"/>
        <v>ProductTransfer</v>
      </c>
      <c r="AQ57" s="146">
        <f>IFERROR(_xlfn.IFNA(IF($BA57="No",0,IF(INDEX(Constants!B:B,MATCH(($I57/12),Constants!$A:$A,0))=0,0,INDEX(Constants!B:B,MATCH(($I57/12),Constants!$A:$A,0)))),0),"")</f>
        <v>2.5</v>
      </c>
      <c r="AR57" s="146">
        <f>IFERROR(_xlfn.IFNA(IF($BA57="No",0,IF(INDEX(Constants!C:C,MATCH(($I57/12),Constants!$A:$A,0))=0,0,INDEX(Constants!C:C,MATCH(($I57/12),Constants!$A:$A,0)))),0),"")</f>
        <v>1.5</v>
      </c>
      <c r="AS57" s="146">
        <f>IFERROR(_xlfn.IFNA(IF($BA57="No",0,IF(INDEX(Constants!D:D,MATCH(($I57/12),Constants!$A:$A,0))=0,0,INDEX(Constants!D:D,MATCH(($I57/12),Constants!$A:$A,0)))),0),"")</f>
        <v>0</v>
      </c>
      <c r="AT57" s="146">
        <f>IFERROR(_xlfn.IFNA(IF($BA57="No",0,IF(INDEX(Constants!E:E,MATCH(($I57/12),Constants!$A:$A,0))=0,0,INDEX(Constants!E:E,MATCH(($I57/12),Constants!$A:$A,0)))),0),"")</f>
        <v>0</v>
      </c>
      <c r="AU57" s="146">
        <f>IFERROR(_xlfn.IFNA(IF($BA57="No",0,IF(INDEX(Constants!F:F,MATCH(($I57/12),Constants!$A:$A,0))=0,0,INDEX(Constants!F:F,MATCH(($I57/12),Constants!$A:$A,0)))),0),"")</f>
        <v>0</v>
      </c>
      <c r="AV57" s="146">
        <f>IFERROR(_xlfn.IFNA(IF($BA57="No",0,IF(INDEX(Constants!G:G,MATCH(($I57/12),Constants!$A:$A,0))=0,0,INDEX(Constants!G:G,MATCH(($I57/12),Constants!$A:$A,0)))),0),"")</f>
        <v>0</v>
      </c>
      <c r="AW57" s="146">
        <f>IFERROR(_xlfn.IFNA(IF($BA57="No",0,IF(INDEX(Constants!H:H,MATCH(($I57/12),Constants!$A:$A,0))=0,0,INDEX(Constants!H:H,MATCH(($I57/12),Constants!$A:$A,0)))),0),"")</f>
        <v>0</v>
      </c>
      <c r="AX57" s="146">
        <f>IFERROR(_xlfn.IFNA(IF($BA57="No",0,IF(INDEX(Constants!I:I,MATCH(($I57/12),Constants!$A:$A,0))=0,0,INDEX(Constants!I:I,MATCH(($I57/12),Constants!$A:$A,0)))),0),"")</f>
        <v>0</v>
      </c>
      <c r="AY57" s="146">
        <f>IFERROR(_xlfn.IFNA(IF($BA57="No",0,IF(INDEX(Constants!J:J,MATCH(($I57/12),Constants!$A:$A,0))=0,0,INDEX(Constants!J:J,MATCH(($I57/12),Constants!$A:$A,0)))),0),"")</f>
        <v>0</v>
      </c>
      <c r="AZ57" s="146">
        <f>IFERROR(_xlfn.IFNA(IF($BA57="No",0,IF(INDEX(Constants!K:K,MATCH(($I57/12),Constants!$A:$A,0))=0,0,INDEX(Constants!K:K,MATCH(($I57/12),Constants!$A:$A,0)))),0),"")</f>
        <v>0</v>
      </c>
      <c r="BA57" s="147" t="str">
        <f>_xlfn.IFNA(INDEX(Producer!$L:$L,MATCH($D57,Producer!$A:$A,0)),"")</f>
        <v>Yes</v>
      </c>
      <c r="BB57" s="146" t="str">
        <f>IFERROR(IF(AQ57=0,"",IF(($I57/12)=15,_xlfn.CONCAT(Constants!$N$7,TEXT(DATE(YEAR(H57)-(($I57/12)-3),MONTH(H57),DAY(H57)),"dd/mm/yyyy"),", ",Constants!$P$7,TEXT(DATE(YEAR(H57)-(($I57/12)-8),MONTH(H57),DAY(H57)),"dd/mm/yyyy"),", ",Constants!$T$7,TEXT(DATE(YEAR(H57)-(($I57/12)-11),MONTH(H57),DAY(H57)),"dd/mm/yyyy"),", ",Constants!$V$7,TEXT(DATE(YEAR(H57)-(($I57/12)-13),MONTH(H57),DAY(H57)),"dd/mm/yyyy"),", ",Constants!$W$7,TEXT($H57,"dd/mm/yyyy")),IF(($I57/12)=10,_xlfn.CONCAT(Constants!$N$6,TEXT(DATE(YEAR(H57)-(($I57/12)-2),MONTH(H57),DAY(H57)),"dd/mm/yyyy"),", ",Constants!$P$6,TEXT(DATE(YEAR(H57)-(($I57/12)-6),MONTH(H57),DAY(H57)),"dd/mm/yyyy"),", ",Constants!$T$6,TEXT(DATE(YEAR(H57)-(($I57/12)-8),MONTH(H57),DAY(H57)),"dd/mm/yyyy"),", ",Constants!$V$6,TEXT(DATE(YEAR(H57)-(($I57/12)-9),MONTH(H57),DAY(H57)),"dd/mm/yyyy"),", ",Constants!$W$6,TEXT($H57,"dd/mm/yyyy")),IF(($I57/12)=5,_xlfn.CONCAT(Constants!$N$5,TEXT(DATE(YEAR(H57)-(($I57/12)-1),MONTH(H57),DAY(H57)),"dd/mm/yyyy"),", ",Constants!$O$5,TEXT(DATE(YEAR(H57)-(($I57/12)-2),MONTH(H57),DAY(H57)),"dd/mm/yyyy"),", ",Constants!$P$5,TEXT(DATE(YEAR(H57)-(($I57/12)-3),MONTH(H57),DAY(H57)),"dd/mm/yyyy"),", ",Constants!$Q$5,TEXT(DATE(YEAR(H57)-(($I57/12)-4),MONTH(H57),DAY(H57)),"dd/mm/yyyy"),", ",Constants!$R$5,TEXT($H57,"dd/mm/yyyy")),IF(($I57/12)=3,_xlfn.CONCAT(Constants!$N$4,TEXT(DATE(YEAR(H57)-(($I57/12)-1),MONTH(H57),DAY(H57)),"dd/mm/yyyy"),", ",Constants!$O$4,TEXT(DATE(YEAR(H57)-(($I57/12)-2),MONTH(H57),DAY(H57)),"dd/mm/yyyy"),", ",Constants!$P$4,TEXT($H57,"dd/mm/yyyy")),IF(($I57/12)=2,_xlfn.CONCAT(Constants!$N$3,TEXT(DATE(YEAR(H57)-(($I57/12)-1),MONTH(H57),DAY(H57)),"dd/mm/yyyy"),", ",Constants!$O$3,TEXT($H57,"dd/mm/yyyy")),IF(($I57/12)=1,_xlfn.CONCAT(Constants!$N$2,TEXT($H57,"dd/mm/yyyy")),"Update Constants"))))))),"")</f>
        <v>2.5% to 31/01/2026, 1.5% to 31/01/2027</v>
      </c>
      <c r="BC57" s="147">
        <f>_xlfn.IFNA(VALUE(INDEX(Producer!$K:$K,MATCH($D57,Producer!$A:$A,0))),"")</f>
        <v>0</v>
      </c>
      <c r="BD57" s="147" t="str">
        <f>_xlfn.IFNA(INDEX(Producer!$I:$I,MATCH($D57,Producer!$A:$A,0)),"")</f>
        <v>No</v>
      </c>
      <c r="BE57" s="147" t="str">
        <f t="shared" si="8"/>
        <v>Yes</v>
      </c>
      <c r="BF57" s="147"/>
      <c r="BG57" s="147"/>
      <c r="BH57" s="151">
        <f>_xlfn.IFNA(INDEX(Constants!$B:$B,MATCH(BC57,Constants!A:A,0)),"")</f>
        <v>0</v>
      </c>
      <c r="BI57" s="147">
        <f>IF(LEFT(B57,15)="Limited Company",Constants!$D$16,IFERROR(_xlfn.IFNA(IF(C57="Residential",IF(BK57&lt;75,INDEX(Constants!$B:$B,MATCH(VALUE(60)/100,Constants!$A:$A,0)),INDEX(Constants!$B:$B,MATCH(VALUE(BK57)/100,Constants!$A:$A,0))),IF(BK57&lt;60,INDEX(Constants!$C:$C,MATCH(VALUE(60)/100,Constants!$A:$A,0)),INDEX(Constants!$C:$C,MATCH(VALUE(BK57)/100,Constants!$A:$A,0)))),""),""))</f>
        <v>2000000</v>
      </c>
      <c r="BJ57" s="147">
        <f t="shared" si="9"/>
        <v>0</v>
      </c>
      <c r="BK57" s="147">
        <f>_xlfn.IFNA(VALUE(INDEX(Producer!$E:$E,MATCH($D57,Producer!$A:$A,0)))*100,"")</f>
        <v>85</v>
      </c>
      <c r="BL57" s="146" t="str">
        <f>_xlfn.IFNA(IF(IFERROR(FIND("Part &amp; Part",B57),-10)&gt;0,"PP",IF(OR(LEFT(B57,25)="Residential Interest Only",INDEX(Producer!$P:$P,MATCH($D57,Producer!$A:$A,0))="IO",INDEX(Producer!$P:$P,MATCH($D57,Producer!$A:$A,0))="Retirement Interest Only"),"IO",IF($C57="BuyToLet","CI, IO","CI"))),"")</f>
        <v>CI</v>
      </c>
      <c r="BM57" s="152" t="str">
        <f>_xlfn.IFNA(IF(BL57="IO",100%,IF(AND(INDEX(Producer!$P:$P,MATCH($D57,Producer!$A:$A,0))="Residential Interest Only Part &amp; Part",BK57=75),80%,IF(C57="BuyToLet",100%,IF(BL57="Interest Only",100%,IF(AND(INDEX(Producer!$P:$P,MATCH($D57,Producer!$A:$A,0))="Residential Interest Only Part &amp; Part",BK57=60),100%,""))))),"")</f>
        <v/>
      </c>
      <c r="BN57" s="218" t="str">
        <f>_xlfn.IFNA(IF(VALUE(INDEX(Producer!$H:$H,MATCH($D57,Producer!$A:$A,0)))=0,"",VALUE(INDEX(Producer!$H:$H,MATCH($D57,Producer!$A:$A,0)))),"")</f>
        <v/>
      </c>
      <c r="BO57" s="153"/>
      <c r="BP57" s="153"/>
      <c r="BQ57" s="219">
        <f t="shared" si="10"/>
        <v>35</v>
      </c>
      <c r="BR57" s="146"/>
      <c r="BS57" s="146"/>
      <c r="BT57" s="146"/>
      <c r="BU57" s="146"/>
      <c r="BV57" s="219">
        <f t="shared" si="11"/>
        <v>199</v>
      </c>
      <c r="BW57" s="146"/>
      <c r="BX57" s="146"/>
      <c r="BY57" s="146" t="str">
        <f t="shared" si="12"/>
        <v>No</v>
      </c>
      <c r="BZ57" s="146" t="str">
        <f t="shared" si="13"/>
        <v>No</v>
      </c>
      <c r="CA57" s="146" t="str">
        <f t="shared" si="14"/>
        <v>No</v>
      </c>
      <c r="CB57" s="146" t="str">
        <f t="shared" si="15"/>
        <v>No</v>
      </c>
      <c r="CC57" s="146" t="str">
        <f>_xlfn.IFNA(IF(INDEX(Producer!$P:$P,MATCH($D57,Producer!$A:$A,0))="Help to Buy","Only available","No"),"")</f>
        <v>No</v>
      </c>
      <c r="CD57" s="146" t="str">
        <f>_xlfn.IFNA(IF(INDEX(Producer!$P:$P,MATCH($D57,Producer!$A:$A,0))="Shared Ownership","Only available","No"),"")</f>
        <v>Only available</v>
      </c>
      <c r="CE57" s="146" t="str">
        <f>_xlfn.IFNA(IF(INDEX(Producer!$P:$P,MATCH($D57,Producer!$A:$A,0))="Right to Buy","Only available","No"),"")</f>
        <v>No</v>
      </c>
      <c r="CF57" s="146" t="str">
        <f t="shared" si="16"/>
        <v>No</v>
      </c>
      <c r="CG57" s="146" t="str">
        <f>_xlfn.IFNA(IF(INDEX(Producer!$P:$P,MATCH($D57,Producer!$A:$A,0))="Retirement Interest Only","Only available","No"),"")</f>
        <v>No</v>
      </c>
      <c r="CH57" s="146" t="str">
        <f t="shared" si="17"/>
        <v>No</v>
      </c>
      <c r="CI57" s="146" t="str">
        <f>_xlfn.IFNA(IF(INDEX(Producer!$P:$P,MATCH($D57,Producer!$A:$A,0))="Intermediary Holiday Let","Only available","No"),"")</f>
        <v>No</v>
      </c>
      <c r="CJ57" s="146" t="str">
        <f t="shared" si="18"/>
        <v>No</v>
      </c>
      <c r="CK57" s="146" t="str">
        <f>_xlfn.IFNA(IF(OR(INDEX(Producer!$P:$P,MATCH($D57,Producer!$A:$A,0))="Intermediary Small HMO",INDEX(Producer!$P:$P,MATCH($D57,Producer!$A:$A,0))="Intermediary Large HMO"),"Only available","No"),"")</f>
        <v>No</v>
      </c>
      <c r="CL57" s="146" t="str">
        <f t="shared" si="19"/>
        <v>No</v>
      </c>
      <c r="CM57" s="146" t="str">
        <f t="shared" si="20"/>
        <v>No</v>
      </c>
      <c r="CN57" s="146" t="str">
        <f t="shared" si="21"/>
        <v>No</v>
      </c>
      <c r="CO57" s="146" t="str">
        <f t="shared" si="22"/>
        <v>Also available</v>
      </c>
      <c r="CP57" s="146" t="str">
        <f t="shared" si="23"/>
        <v>No</v>
      </c>
      <c r="CQ57" s="146" t="str">
        <f t="shared" si="24"/>
        <v>No</v>
      </c>
      <c r="CR57" s="146" t="str">
        <f t="shared" si="25"/>
        <v>Also available</v>
      </c>
      <c r="CS57" s="146" t="str">
        <f t="shared" si="26"/>
        <v>Only available</v>
      </c>
      <c r="CT57" s="146" t="str">
        <f t="shared" si="27"/>
        <v>No</v>
      </c>
      <c r="CU57" s="146"/>
    </row>
    <row r="58" spans="1:99" ht="16.399999999999999" customHeight="1" x14ac:dyDescent="0.35">
      <c r="A58" s="145" t="str">
        <f t="shared" si="0"/>
        <v>Leeds Building Society</v>
      </c>
      <c r="B58" s="145" t="str">
        <f>_xlfn.IFNA(_xlfn.CONCAT(INDEX(Producer!$P:$P,MATCH($D58,Producer!$A:$A,0))," ",IF(INDEX(Producer!$N:$N,MATCH($D58,Producer!$A:$A,0))="Yes","Green ",""),IF(AND(INDEX(Producer!$L:$L,MATCH($D58,Producer!$A:$A,0))="No",INDEX(Producer!$C:$C,MATCH($D58,Producer!$A:$A,0))="Fixed"),"Flexit ",""),INDEX(Producer!$B:$B,MATCH($D58,Producer!$A:$A,0))," Year ",INDEX(Producer!$C:$C,MATCH($D58,Producer!$A:$A,0))," ",VALUE(INDEX(Producer!$E:$E,MATCH($D58,Producer!$A:$A,0)))*100,"% LTV",IF(INDEX(Producer!$N:$N,MATCH($D58,Producer!$A:$A,0))="Yes"," (EPC A-C)","")," - ",IF(INDEX(Producer!$D:$D,MATCH($D58,Producer!$A:$A,0))="DLY","Daily","Annual")),"")</f>
        <v>Shared Ownership 2 Year Fixed 95% LTV - Daily</v>
      </c>
      <c r="C58" s="146" t="str">
        <f>_xlfn.IFNA(INDEX(Producer!$Q:$Q,MATCH($D58,Producer!$A:$A,0)),"")</f>
        <v>Residential</v>
      </c>
      <c r="D58" s="146">
        <f>IFERROR(VALUE(MID(Producer!$R$2,IF($D57="",1/0,FIND(_xlfn.CONCAT($D56,$D57),Producer!$R$2)+10),5)),"")</f>
        <v>54304</v>
      </c>
      <c r="E58" s="146" t="str">
        <f t="shared" si="1"/>
        <v>Stepped Fixed</v>
      </c>
      <c r="F58" s="146"/>
      <c r="G58" s="147">
        <f>_xlfn.IFNA(VALUE(INDEX(Producer!$F:$F,MATCH($D58,Producer!$A:$A,0)))*100,"")</f>
        <v>5.54</v>
      </c>
      <c r="H58" s="216">
        <f>_xlfn.IFNA(IFERROR(DATEVALUE(INDEX(Producer!$M:$M,MATCH($D58,Producer!$A:$A,0))),(INDEX(Producer!$M:$M,MATCH($D58,Producer!$A:$A,0)))),"")</f>
        <v>46418</v>
      </c>
      <c r="I58" s="217">
        <f>_xlfn.IFNA(VALUE(INDEX(Producer!$B:$B,MATCH($D58,Producer!$A:$A,0)))*12,"")</f>
        <v>24</v>
      </c>
      <c r="J58" s="146">
        <f>_xlfn.IFNA(IF(C58="Residential",IF(VALUE(INDEX(Producer!$B:$B,MATCH($D58,Producer!$A:$A,0)))&lt;5,Constants!$C$10,""),IF(VALUE(INDEX(Producer!$B:$B,MATCH($D58,Producer!$A:$A,0)))&lt;5,Constants!$C$11,"")),"")</f>
        <v>7.49</v>
      </c>
      <c r="K58" s="216">
        <f>_xlfn.IFNA(IF(($I58)&lt;60,DATE(YEAR(H58)+(5-VALUE(INDEX(Producer!$B:$B,MATCH($D58,Producer!$A:$A,0)))),MONTH(H58),DAY(H58)),""),"")</f>
        <v>47514</v>
      </c>
      <c r="L58" s="153">
        <f t="shared" si="2"/>
        <v>36</v>
      </c>
      <c r="M58" s="146"/>
      <c r="N58" s="148"/>
      <c r="O58" s="148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>
        <f>IF(D58="","",IF(C58="Residential",Constants!$B$10,Constants!$B$11))</f>
        <v>8.24</v>
      </c>
      <c r="AL58" s="146" t="str">
        <f t="shared" si="3"/>
        <v>SVR</v>
      </c>
      <c r="AM58" s="206" t="str">
        <f t="shared" si="4"/>
        <v/>
      </c>
      <c r="AN58" s="146">
        <f t="shared" si="5"/>
        <v>10</v>
      </c>
      <c r="AO58" s="149" t="str">
        <f t="shared" si="6"/>
        <v>Remortgage</v>
      </c>
      <c r="AP58" s="150" t="str">
        <f t="shared" si="7"/>
        <v>ProductTransfer</v>
      </c>
      <c r="AQ58" s="146">
        <f>IFERROR(_xlfn.IFNA(IF($BA58="No",0,IF(INDEX(Constants!B:B,MATCH(($I58/12),Constants!$A:$A,0))=0,0,INDEX(Constants!B:B,MATCH(($I58/12),Constants!$A:$A,0)))),0),"")</f>
        <v>2.5</v>
      </c>
      <c r="AR58" s="146">
        <f>IFERROR(_xlfn.IFNA(IF($BA58="No",0,IF(INDEX(Constants!C:C,MATCH(($I58/12),Constants!$A:$A,0))=0,0,INDEX(Constants!C:C,MATCH(($I58/12),Constants!$A:$A,0)))),0),"")</f>
        <v>1.5</v>
      </c>
      <c r="AS58" s="146">
        <f>IFERROR(_xlfn.IFNA(IF($BA58="No",0,IF(INDEX(Constants!D:D,MATCH(($I58/12),Constants!$A:$A,0))=0,0,INDEX(Constants!D:D,MATCH(($I58/12),Constants!$A:$A,0)))),0),"")</f>
        <v>0</v>
      </c>
      <c r="AT58" s="146">
        <f>IFERROR(_xlfn.IFNA(IF($BA58="No",0,IF(INDEX(Constants!E:E,MATCH(($I58/12),Constants!$A:$A,0))=0,0,INDEX(Constants!E:E,MATCH(($I58/12),Constants!$A:$A,0)))),0),"")</f>
        <v>0</v>
      </c>
      <c r="AU58" s="146">
        <f>IFERROR(_xlfn.IFNA(IF($BA58="No",0,IF(INDEX(Constants!F:F,MATCH(($I58/12),Constants!$A:$A,0))=0,0,INDEX(Constants!F:F,MATCH(($I58/12),Constants!$A:$A,0)))),0),"")</f>
        <v>0</v>
      </c>
      <c r="AV58" s="146">
        <f>IFERROR(_xlfn.IFNA(IF($BA58="No",0,IF(INDEX(Constants!G:G,MATCH(($I58/12),Constants!$A:$A,0))=0,0,INDEX(Constants!G:G,MATCH(($I58/12),Constants!$A:$A,0)))),0),"")</f>
        <v>0</v>
      </c>
      <c r="AW58" s="146">
        <f>IFERROR(_xlfn.IFNA(IF($BA58="No",0,IF(INDEX(Constants!H:H,MATCH(($I58/12),Constants!$A:$A,0))=0,0,INDEX(Constants!H:H,MATCH(($I58/12),Constants!$A:$A,0)))),0),"")</f>
        <v>0</v>
      </c>
      <c r="AX58" s="146">
        <f>IFERROR(_xlfn.IFNA(IF($BA58="No",0,IF(INDEX(Constants!I:I,MATCH(($I58/12),Constants!$A:$A,0))=0,0,INDEX(Constants!I:I,MATCH(($I58/12),Constants!$A:$A,0)))),0),"")</f>
        <v>0</v>
      </c>
      <c r="AY58" s="146">
        <f>IFERROR(_xlfn.IFNA(IF($BA58="No",0,IF(INDEX(Constants!J:J,MATCH(($I58/12),Constants!$A:$A,0))=0,0,INDEX(Constants!J:J,MATCH(($I58/12),Constants!$A:$A,0)))),0),"")</f>
        <v>0</v>
      </c>
      <c r="AZ58" s="146">
        <f>IFERROR(_xlfn.IFNA(IF($BA58="No",0,IF(INDEX(Constants!K:K,MATCH(($I58/12),Constants!$A:$A,0))=0,0,INDEX(Constants!K:K,MATCH(($I58/12),Constants!$A:$A,0)))),0),"")</f>
        <v>0</v>
      </c>
      <c r="BA58" s="147" t="str">
        <f>_xlfn.IFNA(INDEX(Producer!$L:$L,MATCH($D58,Producer!$A:$A,0)),"")</f>
        <v>Yes</v>
      </c>
      <c r="BB58" s="146" t="str">
        <f>IFERROR(IF(AQ58=0,"",IF(($I58/12)=15,_xlfn.CONCAT(Constants!$N$7,TEXT(DATE(YEAR(H58)-(($I58/12)-3),MONTH(H58),DAY(H58)),"dd/mm/yyyy"),", ",Constants!$P$7,TEXT(DATE(YEAR(H58)-(($I58/12)-8),MONTH(H58),DAY(H58)),"dd/mm/yyyy"),", ",Constants!$T$7,TEXT(DATE(YEAR(H58)-(($I58/12)-11),MONTH(H58),DAY(H58)),"dd/mm/yyyy"),", ",Constants!$V$7,TEXT(DATE(YEAR(H58)-(($I58/12)-13),MONTH(H58),DAY(H58)),"dd/mm/yyyy"),", ",Constants!$W$7,TEXT($H58,"dd/mm/yyyy")),IF(($I58/12)=10,_xlfn.CONCAT(Constants!$N$6,TEXT(DATE(YEAR(H58)-(($I58/12)-2),MONTH(H58),DAY(H58)),"dd/mm/yyyy"),", ",Constants!$P$6,TEXT(DATE(YEAR(H58)-(($I58/12)-6),MONTH(H58),DAY(H58)),"dd/mm/yyyy"),", ",Constants!$T$6,TEXT(DATE(YEAR(H58)-(($I58/12)-8),MONTH(H58),DAY(H58)),"dd/mm/yyyy"),", ",Constants!$V$6,TEXT(DATE(YEAR(H58)-(($I58/12)-9),MONTH(H58),DAY(H58)),"dd/mm/yyyy"),", ",Constants!$W$6,TEXT($H58,"dd/mm/yyyy")),IF(($I58/12)=5,_xlfn.CONCAT(Constants!$N$5,TEXT(DATE(YEAR(H58)-(($I58/12)-1),MONTH(H58),DAY(H58)),"dd/mm/yyyy"),", ",Constants!$O$5,TEXT(DATE(YEAR(H58)-(($I58/12)-2),MONTH(H58),DAY(H58)),"dd/mm/yyyy"),", ",Constants!$P$5,TEXT(DATE(YEAR(H58)-(($I58/12)-3),MONTH(H58),DAY(H58)),"dd/mm/yyyy"),", ",Constants!$Q$5,TEXT(DATE(YEAR(H58)-(($I58/12)-4),MONTH(H58),DAY(H58)),"dd/mm/yyyy"),", ",Constants!$R$5,TEXT($H58,"dd/mm/yyyy")),IF(($I58/12)=3,_xlfn.CONCAT(Constants!$N$4,TEXT(DATE(YEAR(H58)-(($I58/12)-1),MONTH(H58),DAY(H58)),"dd/mm/yyyy"),", ",Constants!$O$4,TEXT(DATE(YEAR(H58)-(($I58/12)-2),MONTH(H58),DAY(H58)),"dd/mm/yyyy"),", ",Constants!$P$4,TEXT($H58,"dd/mm/yyyy")),IF(($I58/12)=2,_xlfn.CONCAT(Constants!$N$3,TEXT(DATE(YEAR(H58)-(($I58/12)-1),MONTH(H58),DAY(H58)),"dd/mm/yyyy"),", ",Constants!$O$3,TEXT($H58,"dd/mm/yyyy")),IF(($I58/12)=1,_xlfn.CONCAT(Constants!$N$2,TEXT($H58,"dd/mm/yyyy")),"Update Constants"))))))),"")</f>
        <v>2.5% to 31/01/2026, 1.5% to 31/01/2027</v>
      </c>
      <c r="BC58" s="147">
        <f>_xlfn.IFNA(VALUE(INDEX(Producer!$K:$K,MATCH($D58,Producer!$A:$A,0))),"")</f>
        <v>0</v>
      </c>
      <c r="BD58" s="147" t="str">
        <f>_xlfn.IFNA(INDEX(Producer!$I:$I,MATCH($D58,Producer!$A:$A,0)),"")</f>
        <v>No</v>
      </c>
      <c r="BE58" s="147" t="str">
        <f t="shared" si="8"/>
        <v>Yes</v>
      </c>
      <c r="BF58" s="147"/>
      <c r="BG58" s="147"/>
      <c r="BH58" s="151">
        <f>_xlfn.IFNA(INDEX(Constants!$B:$B,MATCH(BC58,Constants!A:A,0)),"")</f>
        <v>0</v>
      </c>
      <c r="BI58" s="147">
        <f>IF(LEFT(B58,15)="Limited Company",Constants!$D$16,IFERROR(_xlfn.IFNA(IF(C58="Residential",IF(BK58&lt;75,INDEX(Constants!$B:$B,MATCH(VALUE(60)/100,Constants!$A:$A,0)),INDEX(Constants!$B:$B,MATCH(VALUE(BK58)/100,Constants!$A:$A,0))),IF(BK58&lt;60,INDEX(Constants!$C:$C,MATCH(VALUE(60)/100,Constants!$A:$A,0)),INDEX(Constants!$C:$C,MATCH(VALUE(BK58)/100,Constants!$A:$A,0)))),""),""))</f>
        <v>2000000</v>
      </c>
      <c r="BJ58" s="147">
        <f t="shared" si="9"/>
        <v>0</v>
      </c>
      <c r="BK58" s="147">
        <f>_xlfn.IFNA(VALUE(INDEX(Producer!$E:$E,MATCH($D58,Producer!$A:$A,0)))*100,"")</f>
        <v>95</v>
      </c>
      <c r="BL58" s="146" t="str">
        <f>_xlfn.IFNA(IF(IFERROR(FIND("Part &amp; Part",B58),-10)&gt;0,"PP",IF(OR(LEFT(B58,25)="Residential Interest Only",INDEX(Producer!$P:$P,MATCH($D58,Producer!$A:$A,0))="IO",INDEX(Producer!$P:$P,MATCH($D58,Producer!$A:$A,0))="Retirement Interest Only"),"IO",IF($C58="BuyToLet","CI, IO","CI"))),"")</f>
        <v>CI</v>
      </c>
      <c r="BM58" s="152" t="str">
        <f>_xlfn.IFNA(IF(BL58="IO",100%,IF(AND(INDEX(Producer!$P:$P,MATCH($D58,Producer!$A:$A,0))="Residential Interest Only Part &amp; Part",BK58=75),80%,IF(C58="BuyToLet",100%,IF(BL58="Interest Only",100%,IF(AND(INDEX(Producer!$P:$P,MATCH($D58,Producer!$A:$A,0))="Residential Interest Only Part &amp; Part",BK58=60),100%,""))))),"")</f>
        <v/>
      </c>
      <c r="BN58" s="218" t="str">
        <f>_xlfn.IFNA(IF(VALUE(INDEX(Producer!$H:$H,MATCH($D58,Producer!$A:$A,0)))=0,"",VALUE(INDEX(Producer!$H:$H,MATCH($D58,Producer!$A:$A,0)))),"")</f>
        <v/>
      </c>
      <c r="BO58" s="153"/>
      <c r="BP58" s="153"/>
      <c r="BQ58" s="219">
        <f t="shared" si="10"/>
        <v>35</v>
      </c>
      <c r="BR58" s="146"/>
      <c r="BS58" s="146"/>
      <c r="BT58" s="146"/>
      <c r="BU58" s="146"/>
      <c r="BV58" s="219">
        <f t="shared" si="11"/>
        <v>199</v>
      </c>
      <c r="BW58" s="146"/>
      <c r="BX58" s="146"/>
      <c r="BY58" s="146" t="str">
        <f t="shared" si="12"/>
        <v>No</v>
      </c>
      <c r="BZ58" s="146" t="str">
        <f t="shared" si="13"/>
        <v>No</v>
      </c>
      <c r="CA58" s="146" t="str">
        <f t="shared" si="14"/>
        <v>No</v>
      </c>
      <c r="CB58" s="146" t="str">
        <f t="shared" si="15"/>
        <v>No</v>
      </c>
      <c r="CC58" s="146" t="str">
        <f>_xlfn.IFNA(IF(INDEX(Producer!$P:$P,MATCH($D58,Producer!$A:$A,0))="Help to Buy","Only available","No"),"")</f>
        <v>No</v>
      </c>
      <c r="CD58" s="146" t="str">
        <f>_xlfn.IFNA(IF(INDEX(Producer!$P:$P,MATCH($D58,Producer!$A:$A,0))="Shared Ownership","Only available","No"),"")</f>
        <v>Only available</v>
      </c>
      <c r="CE58" s="146" t="str">
        <f>_xlfn.IFNA(IF(INDEX(Producer!$P:$P,MATCH($D58,Producer!$A:$A,0))="Right to Buy","Only available","No"),"")</f>
        <v>No</v>
      </c>
      <c r="CF58" s="146" t="str">
        <f t="shared" si="16"/>
        <v>No</v>
      </c>
      <c r="CG58" s="146" t="str">
        <f>_xlfn.IFNA(IF(INDEX(Producer!$P:$P,MATCH($D58,Producer!$A:$A,0))="Retirement Interest Only","Only available","No"),"")</f>
        <v>No</v>
      </c>
      <c r="CH58" s="146" t="str">
        <f t="shared" si="17"/>
        <v>No</v>
      </c>
      <c r="CI58" s="146" t="str">
        <f>_xlfn.IFNA(IF(INDEX(Producer!$P:$P,MATCH($D58,Producer!$A:$A,0))="Intermediary Holiday Let","Only available","No"),"")</f>
        <v>No</v>
      </c>
      <c r="CJ58" s="146" t="str">
        <f t="shared" si="18"/>
        <v>No</v>
      </c>
      <c r="CK58" s="146" t="str">
        <f>_xlfn.IFNA(IF(OR(INDEX(Producer!$P:$P,MATCH($D58,Producer!$A:$A,0))="Intermediary Small HMO",INDEX(Producer!$P:$P,MATCH($D58,Producer!$A:$A,0))="Intermediary Large HMO"),"Only available","No"),"")</f>
        <v>No</v>
      </c>
      <c r="CL58" s="146" t="str">
        <f t="shared" si="19"/>
        <v>No</v>
      </c>
      <c r="CM58" s="146" t="str">
        <f t="shared" si="20"/>
        <v>No</v>
      </c>
      <c r="CN58" s="146" t="str">
        <f t="shared" si="21"/>
        <v>No</v>
      </c>
      <c r="CO58" s="146" t="str">
        <f t="shared" si="22"/>
        <v>No</v>
      </c>
      <c r="CP58" s="146" t="str">
        <f t="shared" si="23"/>
        <v>No</v>
      </c>
      <c r="CQ58" s="146" t="str">
        <f t="shared" si="24"/>
        <v>No</v>
      </c>
      <c r="CR58" s="146" t="str">
        <f t="shared" si="25"/>
        <v>Also available</v>
      </c>
      <c r="CS58" s="146" t="str">
        <f t="shared" si="26"/>
        <v>Only available</v>
      </c>
      <c r="CT58" s="146" t="str">
        <f t="shared" si="27"/>
        <v>No</v>
      </c>
      <c r="CU58" s="146"/>
    </row>
    <row r="59" spans="1:99" ht="16.399999999999999" customHeight="1" x14ac:dyDescent="0.35">
      <c r="A59" s="145" t="str">
        <f t="shared" si="0"/>
        <v>Leeds Building Society</v>
      </c>
      <c r="B59" s="145" t="str">
        <f>_xlfn.IFNA(_xlfn.CONCAT(INDEX(Producer!$P:$P,MATCH($D59,Producer!$A:$A,0))," ",IF(INDEX(Producer!$N:$N,MATCH($D59,Producer!$A:$A,0))="Yes","Green ",""),IF(AND(INDEX(Producer!$L:$L,MATCH($D59,Producer!$A:$A,0))="No",INDEX(Producer!$C:$C,MATCH($D59,Producer!$A:$A,0))="Fixed"),"Flexit ",""),INDEX(Producer!$B:$B,MATCH($D59,Producer!$A:$A,0))," Year ",INDEX(Producer!$C:$C,MATCH($D59,Producer!$A:$A,0))," ",VALUE(INDEX(Producer!$E:$E,MATCH($D59,Producer!$A:$A,0)))*100,"% LTV",IF(INDEX(Producer!$N:$N,MATCH($D59,Producer!$A:$A,0))="Yes"," (EPC A-C)","")," - ",IF(INDEX(Producer!$D:$D,MATCH($D59,Producer!$A:$A,0))="DLY","Daily","Annual")),"")</f>
        <v>Shared Ownership 2 Year Fixed 150% LTV - Daily</v>
      </c>
      <c r="C59" s="146" t="str">
        <f>_xlfn.IFNA(INDEX(Producer!$Q:$Q,MATCH($D59,Producer!$A:$A,0)),"")</f>
        <v>Residential</v>
      </c>
      <c r="D59" s="146">
        <f>IFERROR(VALUE(MID(Producer!$R$2,IF($D58="",1/0,FIND(_xlfn.CONCAT($D57,$D58),Producer!$R$2)+10),5)),"")</f>
        <v>54302</v>
      </c>
      <c r="E59" s="146" t="str">
        <f t="shared" si="1"/>
        <v>Stepped Fixed</v>
      </c>
      <c r="F59" s="146"/>
      <c r="G59" s="147">
        <f>_xlfn.IFNA(VALUE(INDEX(Producer!$F:$F,MATCH($D59,Producer!$A:$A,0)))*100,"")</f>
        <v>6.79</v>
      </c>
      <c r="H59" s="216">
        <f>_xlfn.IFNA(IFERROR(DATEVALUE(INDEX(Producer!$M:$M,MATCH($D59,Producer!$A:$A,0))),(INDEX(Producer!$M:$M,MATCH($D59,Producer!$A:$A,0)))),"")</f>
        <v>46418</v>
      </c>
      <c r="I59" s="217">
        <f>_xlfn.IFNA(VALUE(INDEX(Producer!$B:$B,MATCH($D59,Producer!$A:$A,0)))*12,"")</f>
        <v>24</v>
      </c>
      <c r="J59" s="146">
        <f>_xlfn.IFNA(IF(C59="Residential",IF(VALUE(INDEX(Producer!$B:$B,MATCH($D59,Producer!$A:$A,0)))&lt;5,Constants!$C$10,""),IF(VALUE(INDEX(Producer!$B:$B,MATCH($D59,Producer!$A:$A,0)))&lt;5,Constants!$C$11,"")),"")</f>
        <v>7.49</v>
      </c>
      <c r="K59" s="216">
        <f>_xlfn.IFNA(IF(($I59)&lt;60,DATE(YEAR(H59)+(5-VALUE(INDEX(Producer!$B:$B,MATCH($D59,Producer!$A:$A,0)))),MONTH(H59),DAY(H59)),""),"")</f>
        <v>47514</v>
      </c>
      <c r="L59" s="153">
        <f t="shared" si="2"/>
        <v>36</v>
      </c>
      <c r="M59" s="146"/>
      <c r="N59" s="148"/>
      <c r="O59" s="148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>
        <f>IF(D59="","",IF(C59="Residential",Constants!$B$10,Constants!$B$11))</f>
        <v>8.24</v>
      </c>
      <c r="AL59" s="146" t="str">
        <f t="shared" si="3"/>
        <v>SVR</v>
      </c>
      <c r="AM59" s="206" t="str">
        <f t="shared" si="4"/>
        <v/>
      </c>
      <c r="AN59" s="146">
        <f t="shared" si="5"/>
        <v>10</v>
      </c>
      <c r="AO59" s="149" t="str">
        <f t="shared" si="6"/>
        <v>Remortgage</v>
      </c>
      <c r="AP59" s="150" t="str">
        <f t="shared" si="7"/>
        <v>ProductTransfer</v>
      </c>
      <c r="AQ59" s="146">
        <f>IFERROR(_xlfn.IFNA(IF($BA59="No",0,IF(INDEX(Constants!B:B,MATCH(($I59/12),Constants!$A:$A,0))=0,0,INDEX(Constants!B:B,MATCH(($I59/12),Constants!$A:$A,0)))),0),"")</f>
        <v>2.5</v>
      </c>
      <c r="AR59" s="146">
        <f>IFERROR(_xlfn.IFNA(IF($BA59="No",0,IF(INDEX(Constants!C:C,MATCH(($I59/12),Constants!$A:$A,0))=0,0,INDEX(Constants!C:C,MATCH(($I59/12),Constants!$A:$A,0)))),0),"")</f>
        <v>1.5</v>
      </c>
      <c r="AS59" s="146">
        <f>IFERROR(_xlfn.IFNA(IF($BA59="No",0,IF(INDEX(Constants!D:D,MATCH(($I59/12),Constants!$A:$A,0))=0,0,INDEX(Constants!D:D,MATCH(($I59/12),Constants!$A:$A,0)))),0),"")</f>
        <v>0</v>
      </c>
      <c r="AT59" s="146">
        <f>IFERROR(_xlfn.IFNA(IF($BA59="No",0,IF(INDEX(Constants!E:E,MATCH(($I59/12),Constants!$A:$A,0))=0,0,INDEX(Constants!E:E,MATCH(($I59/12),Constants!$A:$A,0)))),0),"")</f>
        <v>0</v>
      </c>
      <c r="AU59" s="146">
        <f>IFERROR(_xlfn.IFNA(IF($BA59="No",0,IF(INDEX(Constants!F:F,MATCH(($I59/12),Constants!$A:$A,0))=0,0,INDEX(Constants!F:F,MATCH(($I59/12),Constants!$A:$A,0)))),0),"")</f>
        <v>0</v>
      </c>
      <c r="AV59" s="146">
        <f>IFERROR(_xlfn.IFNA(IF($BA59="No",0,IF(INDEX(Constants!G:G,MATCH(($I59/12),Constants!$A:$A,0))=0,0,INDEX(Constants!G:G,MATCH(($I59/12),Constants!$A:$A,0)))),0),"")</f>
        <v>0</v>
      </c>
      <c r="AW59" s="146">
        <f>IFERROR(_xlfn.IFNA(IF($BA59="No",0,IF(INDEX(Constants!H:H,MATCH(($I59/12),Constants!$A:$A,0))=0,0,INDEX(Constants!H:H,MATCH(($I59/12),Constants!$A:$A,0)))),0),"")</f>
        <v>0</v>
      </c>
      <c r="AX59" s="146">
        <f>IFERROR(_xlfn.IFNA(IF($BA59="No",0,IF(INDEX(Constants!I:I,MATCH(($I59/12),Constants!$A:$A,0))=0,0,INDEX(Constants!I:I,MATCH(($I59/12),Constants!$A:$A,0)))),0),"")</f>
        <v>0</v>
      </c>
      <c r="AY59" s="146">
        <f>IFERROR(_xlfn.IFNA(IF($BA59="No",0,IF(INDEX(Constants!J:J,MATCH(($I59/12),Constants!$A:$A,0))=0,0,INDEX(Constants!J:J,MATCH(($I59/12),Constants!$A:$A,0)))),0),"")</f>
        <v>0</v>
      </c>
      <c r="AZ59" s="146">
        <f>IFERROR(_xlfn.IFNA(IF($BA59="No",0,IF(INDEX(Constants!K:K,MATCH(($I59/12),Constants!$A:$A,0))=0,0,INDEX(Constants!K:K,MATCH(($I59/12),Constants!$A:$A,0)))),0),"")</f>
        <v>0</v>
      </c>
      <c r="BA59" s="147" t="str">
        <f>_xlfn.IFNA(INDEX(Producer!$L:$L,MATCH($D59,Producer!$A:$A,0)),"")</f>
        <v>Yes</v>
      </c>
      <c r="BB59" s="146" t="str">
        <f>IFERROR(IF(AQ59=0,"",IF(($I59/12)=15,_xlfn.CONCAT(Constants!$N$7,TEXT(DATE(YEAR(H59)-(($I59/12)-3),MONTH(H59),DAY(H59)),"dd/mm/yyyy"),", ",Constants!$P$7,TEXT(DATE(YEAR(H59)-(($I59/12)-8),MONTH(H59),DAY(H59)),"dd/mm/yyyy"),", ",Constants!$T$7,TEXT(DATE(YEAR(H59)-(($I59/12)-11),MONTH(H59),DAY(H59)),"dd/mm/yyyy"),", ",Constants!$V$7,TEXT(DATE(YEAR(H59)-(($I59/12)-13),MONTH(H59),DAY(H59)),"dd/mm/yyyy"),", ",Constants!$W$7,TEXT($H59,"dd/mm/yyyy")),IF(($I59/12)=10,_xlfn.CONCAT(Constants!$N$6,TEXT(DATE(YEAR(H59)-(($I59/12)-2),MONTH(H59),DAY(H59)),"dd/mm/yyyy"),", ",Constants!$P$6,TEXT(DATE(YEAR(H59)-(($I59/12)-6),MONTH(H59),DAY(H59)),"dd/mm/yyyy"),", ",Constants!$T$6,TEXT(DATE(YEAR(H59)-(($I59/12)-8),MONTH(H59),DAY(H59)),"dd/mm/yyyy"),", ",Constants!$V$6,TEXT(DATE(YEAR(H59)-(($I59/12)-9),MONTH(H59),DAY(H59)),"dd/mm/yyyy"),", ",Constants!$W$6,TEXT($H59,"dd/mm/yyyy")),IF(($I59/12)=5,_xlfn.CONCAT(Constants!$N$5,TEXT(DATE(YEAR(H59)-(($I59/12)-1),MONTH(H59),DAY(H59)),"dd/mm/yyyy"),", ",Constants!$O$5,TEXT(DATE(YEAR(H59)-(($I59/12)-2),MONTH(H59),DAY(H59)),"dd/mm/yyyy"),", ",Constants!$P$5,TEXT(DATE(YEAR(H59)-(($I59/12)-3),MONTH(H59),DAY(H59)),"dd/mm/yyyy"),", ",Constants!$Q$5,TEXT(DATE(YEAR(H59)-(($I59/12)-4),MONTH(H59),DAY(H59)),"dd/mm/yyyy"),", ",Constants!$R$5,TEXT($H59,"dd/mm/yyyy")),IF(($I59/12)=3,_xlfn.CONCAT(Constants!$N$4,TEXT(DATE(YEAR(H59)-(($I59/12)-1),MONTH(H59),DAY(H59)),"dd/mm/yyyy"),", ",Constants!$O$4,TEXT(DATE(YEAR(H59)-(($I59/12)-2),MONTH(H59),DAY(H59)),"dd/mm/yyyy"),", ",Constants!$P$4,TEXT($H59,"dd/mm/yyyy")),IF(($I59/12)=2,_xlfn.CONCAT(Constants!$N$3,TEXT(DATE(YEAR(H59)-(($I59/12)-1),MONTH(H59),DAY(H59)),"dd/mm/yyyy"),", ",Constants!$O$3,TEXT($H59,"dd/mm/yyyy")),IF(($I59/12)=1,_xlfn.CONCAT(Constants!$N$2,TEXT($H59,"dd/mm/yyyy")),"Update Constants"))))))),"")</f>
        <v>2.5% to 31/01/2026, 1.5% to 31/01/2027</v>
      </c>
      <c r="BC59" s="147">
        <f>_xlfn.IFNA(VALUE(INDEX(Producer!$K:$K,MATCH($D59,Producer!$A:$A,0))),"")</f>
        <v>0</v>
      </c>
      <c r="BD59" s="147" t="str">
        <f>_xlfn.IFNA(INDEX(Producer!$I:$I,MATCH($D59,Producer!$A:$A,0)),"")</f>
        <v>No</v>
      </c>
      <c r="BE59" s="147" t="str">
        <f t="shared" si="8"/>
        <v>Yes</v>
      </c>
      <c r="BF59" s="147"/>
      <c r="BG59" s="147"/>
      <c r="BH59" s="151">
        <f>_xlfn.IFNA(INDEX(Constants!$B:$B,MATCH(BC59,Constants!A:A,0)),"")</f>
        <v>0</v>
      </c>
      <c r="BI59" s="147" t="str">
        <f>IF(LEFT(B59,15)="Limited Company",Constants!$D$16,IFERROR(_xlfn.IFNA(IF(C59="Residential",IF(BK59&lt;75,INDEX(Constants!$B:$B,MATCH(VALUE(60)/100,Constants!$A:$A,0)),INDEX(Constants!$B:$B,MATCH(VALUE(BK59)/100,Constants!$A:$A,0))),IF(BK59&lt;60,INDEX(Constants!$C:$C,MATCH(VALUE(60)/100,Constants!$A:$A,0)),INDEX(Constants!$C:$C,MATCH(VALUE(BK59)/100,Constants!$A:$A,0)))),""),""))</f>
        <v/>
      </c>
      <c r="BJ59" s="147">
        <f t="shared" si="9"/>
        <v>0</v>
      </c>
      <c r="BK59" s="147">
        <f>_xlfn.IFNA(VALUE(INDEX(Producer!$E:$E,MATCH($D59,Producer!$A:$A,0)))*100,"")</f>
        <v>150</v>
      </c>
      <c r="BL59" s="146" t="str">
        <f>_xlfn.IFNA(IF(IFERROR(FIND("Part &amp; Part",B59),-10)&gt;0,"PP",IF(OR(LEFT(B59,25)="Residential Interest Only",INDEX(Producer!$P:$P,MATCH($D59,Producer!$A:$A,0))="IO",INDEX(Producer!$P:$P,MATCH($D59,Producer!$A:$A,0))="Retirement Interest Only"),"IO",IF($C59="BuyToLet","CI, IO","CI"))),"")</f>
        <v>CI</v>
      </c>
      <c r="BM59" s="152" t="str">
        <f>_xlfn.IFNA(IF(BL59="IO",100%,IF(AND(INDEX(Producer!$P:$P,MATCH($D59,Producer!$A:$A,0))="Residential Interest Only Part &amp; Part",BK59=75),80%,IF(C59="BuyToLet",100%,IF(BL59="Interest Only",100%,IF(AND(INDEX(Producer!$P:$P,MATCH($D59,Producer!$A:$A,0))="Residential Interest Only Part &amp; Part",BK59=60),100%,""))))),"")</f>
        <v/>
      </c>
      <c r="BN59" s="218" t="str">
        <f>_xlfn.IFNA(IF(VALUE(INDEX(Producer!$H:$H,MATCH($D59,Producer!$A:$A,0)))=0,"",VALUE(INDEX(Producer!$H:$H,MATCH($D59,Producer!$A:$A,0)))),"")</f>
        <v/>
      </c>
      <c r="BO59" s="153"/>
      <c r="BP59" s="153"/>
      <c r="BQ59" s="219">
        <f t="shared" si="10"/>
        <v>35</v>
      </c>
      <c r="BR59" s="146"/>
      <c r="BS59" s="146"/>
      <c r="BT59" s="146"/>
      <c r="BU59" s="146"/>
      <c r="BV59" s="219">
        <f t="shared" si="11"/>
        <v>199</v>
      </c>
      <c r="BW59" s="146"/>
      <c r="BX59" s="146"/>
      <c r="BY59" s="146" t="str">
        <f t="shared" si="12"/>
        <v>No</v>
      </c>
      <c r="BZ59" s="146" t="str">
        <f t="shared" si="13"/>
        <v>No</v>
      </c>
      <c r="CA59" s="146" t="str">
        <f t="shared" si="14"/>
        <v>No</v>
      </c>
      <c r="CB59" s="146" t="str">
        <f t="shared" si="15"/>
        <v>No</v>
      </c>
      <c r="CC59" s="146" t="str">
        <f>_xlfn.IFNA(IF(INDEX(Producer!$P:$P,MATCH($D59,Producer!$A:$A,0))="Help to Buy","Only available","No"),"")</f>
        <v>No</v>
      </c>
      <c r="CD59" s="146" t="str">
        <f>_xlfn.IFNA(IF(INDEX(Producer!$P:$P,MATCH($D59,Producer!$A:$A,0))="Shared Ownership","Only available","No"),"")</f>
        <v>Only available</v>
      </c>
      <c r="CE59" s="146" t="str">
        <f>_xlfn.IFNA(IF(INDEX(Producer!$P:$P,MATCH($D59,Producer!$A:$A,0))="Right to Buy","Only available","No"),"")</f>
        <v>No</v>
      </c>
      <c r="CF59" s="146" t="str">
        <f t="shared" si="16"/>
        <v>No</v>
      </c>
      <c r="CG59" s="146" t="str">
        <f>_xlfn.IFNA(IF(INDEX(Producer!$P:$P,MATCH($D59,Producer!$A:$A,0))="Retirement Interest Only","Only available","No"),"")</f>
        <v>No</v>
      </c>
      <c r="CH59" s="146" t="str">
        <f t="shared" si="17"/>
        <v>No</v>
      </c>
      <c r="CI59" s="146" t="str">
        <f>_xlfn.IFNA(IF(INDEX(Producer!$P:$P,MATCH($D59,Producer!$A:$A,0))="Intermediary Holiday Let","Only available","No"),"")</f>
        <v>No</v>
      </c>
      <c r="CJ59" s="146" t="str">
        <f t="shared" si="18"/>
        <v>No</v>
      </c>
      <c r="CK59" s="146" t="str">
        <f>_xlfn.IFNA(IF(OR(INDEX(Producer!$P:$P,MATCH($D59,Producer!$A:$A,0))="Intermediary Small HMO",INDEX(Producer!$P:$P,MATCH($D59,Producer!$A:$A,0))="Intermediary Large HMO"),"Only available","No"),"")</f>
        <v>No</v>
      </c>
      <c r="CL59" s="146" t="str">
        <f t="shared" si="19"/>
        <v>No</v>
      </c>
      <c r="CM59" s="146" t="str">
        <f t="shared" si="20"/>
        <v>No</v>
      </c>
      <c r="CN59" s="146" t="str">
        <f t="shared" si="21"/>
        <v>No</v>
      </c>
      <c r="CO59" s="146" t="str">
        <f t="shared" si="22"/>
        <v>No</v>
      </c>
      <c r="CP59" s="146" t="str">
        <f t="shared" si="23"/>
        <v>No</v>
      </c>
      <c r="CQ59" s="146" t="str">
        <f t="shared" si="24"/>
        <v>No</v>
      </c>
      <c r="CR59" s="146" t="str">
        <f t="shared" si="25"/>
        <v>Also available</v>
      </c>
      <c r="CS59" s="146" t="str">
        <f t="shared" si="26"/>
        <v>Only available</v>
      </c>
      <c r="CT59" s="146" t="str">
        <f t="shared" si="27"/>
        <v>No</v>
      </c>
      <c r="CU59" s="146"/>
    </row>
    <row r="60" spans="1:99" ht="16.399999999999999" customHeight="1" x14ac:dyDescent="0.35">
      <c r="A60" s="145" t="str">
        <f t="shared" si="0"/>
        <v>Leeds Building Society</v>
      </c>
      <c r="B60" s="145" t="str">
        <f>_xlfn.IFNA(_xlfn.CONCAT(INDEX(Producer!$P:$P,MATCH($D60,Producer!$A:$A,0))," ",IF(INDEX(Producer!$N:$N,MATCH($D60,Producer!$A:$A,0))="Yes","Green ",""),IF(AND(INDEX(Producer!$L:$L,MATCH($D60,Producer!$A:$A,0))="No",INDEX(Producer!$C:$C,MATCH($D60,Producer!$A:$A,0))="Fixed"),"Flexit ",""),INDEX(Producer!$B:$B,MATCH($D60,Producer!$A:$A,0))," Year ",INDEX(Producer!$C:$C,MATCH($D60,Producer!$A:$A,0))," ",VALUE(INDEX(Producer!$E:$E,MATCH($D60,Producer!$A:$A,0)))*100,"% LTV",IF(INDEX(Producer!$N:$N,MATCH($D60,Producer!$A:$A,0))="Yes"," (EPC A-C)","")," - ",IF(INDEX(Producer!$D:$D,MATCH($D60,Producer!$A:$A,0))="DLY","Daily","Annual")),"")</f>
        <v>Shared Ownership 3 Year Fixed 85% LTV - Daily</v>
      </c>
      <c r="C60" s="146" t="str">
        <f>_xlfn.IFNA(INDEX(Producer!$Q:$Q,MATCH($D60,Producer!$A:$A,0)),"")</f>
        <v>Residential</v>
      </c>
      <c r="D60" s="146">
        <f>IFERROR(VALUE(MID(Producer!$R$2,IF($D59="",1/0,FIND(_xlfn.CONCAT($D58,$D59),Producer!$R$2)+10),5)),"")</f>
        <v>54306</v>
      </c>
      <c r="E60" s="146" t="str">
        <f t="shared" si="1"/>
        <v>Stepped Fixed</v>
      </c>
      <c r="F60" s="146"/>
      <c r="G60" s="147">
        <f>_xlfn.IFNA(VALUE(INDEX(Producer!$F:$F,MATCH($D60,Producer!$A:$A,0)))*100,"")</f>
        <v>5.24</v>
      </c>
      <c r="H60" s="216">
        <f>_xlfn.IFNA(IFERROR(DATEVALUE(INDEX(Producer!$M:$M,MATCH($D60,Producer!$A:$A,0))),(INDEX(Producer!$M:$M,MATCH($D60,Producer!$A:$A,0)))),"")</f>
        <v>46783</v>
      </c>
      <c r="I60" s="217">
        <f>_xlfn.IFNA(VALUE(INDEX(Producer!$B:$B,MATCH($D60,Producer!$A:$A,0)))*12,"")</f>
        <v>36</v>
      </c>
      <c r="J60" s="146">
        <f>_xlfn.IFNA(IF(C60="Residential",IF(VALUE(INDEX(Producer!$B:$B,MATCH($D60,Producer!$A:$A,0)))&lt;5,Constants!$C$10,""),IF(VALUE(INDEX(Producer!$B:$B,MATCH($D60,Producer!$A:$A,0)))&lt;5,Constants!$C$11,"")),"")</f>
        <v>7.49</v>
      </c>
      <c r="K60" s="216">
        <f>_xlfn.IFNA(IF(($I60)&lt;60,DATE(YEAR(H60)+(5-VALUE(INDEX(Producer!$B:$B,MATCH($D60,Producer!$A:$A,0)))),MONTH(H60),DAY(H60)),""),"")</f>
        <v>47514</v>
      </c>
      <c r="L60" s="153">
        <f t="shared" si="2"/>
        <v>24</v>
      </c>
      <c r="M60" s="146"/>
      <c r="N60" s="148"/>
      <c r="O60" s="148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>
        <f>IF(D60="","",IF(C60="Residential",Constants!$B$10,Constants!$B$11))</f>
        <v>8.24</v>
      </c>
      <c r="AL60" s="146" t="str">
        <f t="shared" si="3"/>
        <v>SVR</v>
      </c>
      <c r="AM60" s="206" t="str">
        <f t="shared" si="4"/>
        <v/>
      </c>
      <c r="AN60" s="146">
        <f t="shared" si="5"/>
        <v>10</v>
      </c>
      <c r="AO60" s="149" t="str">
        <f t="shared" si="6"/>
        <v>Remortgage</v>
      </c>
      <c r="AP60" s="150" t="str">
        <f t="shared" si="7"/>
        <v>ProductTransfer</v>
      </c>
      <c r="AQ60" s="146">
        <f>IFERROR(_xlfn.IFNA(IF($BA60="No",0,IF(INDEX(Constants!B:B,MATCH(($I60/12),Constants!$A:$A,0))=0,0,INDEX(Constants!B:B,MATCH(($I60/12),Constants!$A:$A,0)))),0),"")</f>
        <v>3.5</v>
      </c>
      <c r="AR60" s="146">
        <f>IFERROR(_xlfn.IFNA(IF($BA60="No",0,IF(INDEX(Constants!C:C,MATCH(($I60/12),Constants!$A:$A,0))=0,0,INDEX(Constants!C:C,MATCH(($I60/12),Constants!$A:$A,0)))),0),"")</f>
        <v>2.5</v>
      </c>
      <c r="AS60" s="146">
        <f>IFERROR(_xlfn.IFNA(IF($BA60="No",0,IF(INDEX(Constants!D:D,MATCH(($I60/12),Constants!$A:$A,0))=0,0,INDEX(Constants!D:D,MATCH(($I60/12),Constants!$A:$A,0)))),0),"")</f>
        <v>1.5</v>
      </c>
      <c r="AT60" s="146">
        <f>IFERROR(_xlfn.IFNA(IF($BA60="No",0,IF(INDEX(Constants!E:E,MATCH(($I60/12),Constants!$A:$A,0))=0,0,INDEX(Constants!E:E,MATCH(($I60/12),Constants!$A:$A,0)))),0),"")</f>
        <v>0</v>
      </c>
      <c r="AU60" s="146">
        <f>IFERROR(_xlfn.IFNA(IF($BA60="No",0,IF(INDEX(Constants!F:F,MATCH(($I60/12),Constants!$A:$A,0))=0,0,INDEX(Constants!F:F,MATCH(($I60/12),Constants!$A:$A,0)))),0),"")</f>
        <v>0</v>
      </c>
      <c r="AV60" s="146">
        <f>IFERROR(_xlfn.IFNA(IF($BA60="No",0,IF(INDEX(Constants!G:G,MATCH(($I60/12),Constants!$A:$A,0))=0,0,INDEX(Constants!G:G,MATCH(($I60/12),Constants!$A:$A,0)))),0),"")</f>
        <v>0</v>
      </c>
      <c r="AW60" s="146">
        <f>IFERROR(_xlfn.IFNA(IF($BA60="No",0,IF(INDEX(Constants!H:H,MATCH(($I60/12),Constants!$A:$A,0))=0,0,INDEX(Constants!H:H,MATCH(($I60/12),Constants!$A:$A,0)))),0),"")</f>
        <v>0</v>
      </c>
      <c r="AX60" s="146">
        <f>IFERROR(_xlfn.IFNA(IF($BA60="No",0,IF(INDEX(Constants!I:I,MATCH(($I60/12),Constants!$A:$A,0))=0,0,INDEX(Constants!I:I,MATCH(($I60/12),Constants!$A:$A,0)))),0),"")</f>
        <v>0</v>
      </c>
      <c r="AY60" s="146">
        <f>IFERROR(_xlfn.IFNA(IF($BA60="No",0,IF(INDEX(Constants!J:J,MATCH(($I60/12),Constants!$A:$A,0))=0,0,INDEX(Constants!J:J,MATCH(($I60/12),Constants!$A:$A,0)))),0),"")</f>
        <v>0</v>
      </c>
      <c r="AZ60" s="146">
        <f>IFERROR(_xlfn.IFNA(IF($BA60="No",0,IF(INDEX(Constants!K:K,MATCH(($I60/12),Constants!$A:$A,0))=0,0,INDEX(Constants!K:K,MATCH(($I60/12),Constants!$A:$A,0)))),0),"")</f>
        <v>0</v>
      </c>
      <c r="BA60" s="147" t="str">
        <f>_xlfn.IFNA(INDEX(Producer!$L:$L,MATCH($D60,Producer!$A:$A,0)),"")</f>
        <v>Yes</v>
      </c>
      <c r="BB60" s="146" t="str">
        <f>IFERROR(IF(AQ60=0,"",IF(($I60/12)=15,_xlfn.CONCAT(Constants!$N$7,TEXT(DATE(YEAR(H60)-(($I60/12)-3),MONTH(H60),DAY(H60)),"dd/mm/yyyy"),", ",Constants!$P$7,TEXT(DATE(YEAR(H60)-(($I60/12)-8),MONTH(H60),DAY(H60)),"dd/mm/yyyy"),", ",Constants!$T$7,TEXT(DATE(YEAR(H60)-(($I60/12)-11),MONTH(H60),DAY(H60)),"dd/mm/yyyy"),", ",Constants!$V$7,TEXT(DATE(YEAR(H60)-(($I60/12)-13),MONTH(H60),DAY(H60)),"dd/mm/yyyy"),", ",Constants!$W$7,TEXT($H60,"dd/mm/yyyy")),IF(($I60/12)=10,_xlfn.CONCAT(Constants!$N$6,TEXT(DATE(YEAR(H60)-(($I60/12)-2),MONTH(H60),DAY(H60)),"dd/mm/yyyy"),", ",Constants!$P$6,TEXT(DATE(YEAR(H60)-(($I60/12)-6),MONTH(H60),DAY(H60)),"dd/mm/yyyy"),", ",Constants!$T$6,TEXT(DATE(YEAR(H60)-(($I60/12)-8),MONTH(H60),DAY(H60)),"dd/mm/yyyy"),", ",Constants!$V$6,TEXT(DATE(YEAR(H60)-(($I60/12)-9),MONTH(H60),DAY(H60)),"dd/mm/yyyy"),", ",Constants!$W$6,TEXT($H60,"dd/mm/yyyy")),IF(($I60/12)=5,_xlfn.CONCAT(Constants!$N$5,TEXT(DATE(YEAR(H60)-(($I60/12)-1),MONTH(H60),DAY(H60)),"dd/mm/yyyy"),", ",Constants!$O$5,TEXT(DATE(YEAR(H60)-(($I60/12)-2),MONTH(H60),DAY(H60)),"dd/mm/yyyy"),", ",Constants!$P$5,TEXT(DATE(YEAR(H60)-(($I60/12)-3),MONTH(H60),DAY(H60)),"dd/mm/yyyy"),", ",Constants!$Q$5,TEXT(DATE(YEAR(H60)-(($I60/12)-4),MONTH(H60),DAY(H60)),"dd/mm/yyyy"),", ",Constants!$R$5,TEXT($H60,"dd/mm/yyyy")),IF(($I60/12)=3,_xlfn.CONCAT(Constants!$N$4,TEXT(DATE(YEAR(H60)-(($I60/12)-1),MONTH(H60),DAY(H60)),"dd/mm/yyyy"),", ",Constants!$O$4,TEXT(DATE(YEAR(H60)-(($I60/12)-2),MONTH(H60),DAY(H60)),"dd/mm/yyyy"),", ",Constants!$P$4,TEXT($H60,"dd/mm/yyyy")),IF(($I60/12)=2,_xlfn.CONCAT(Constants!$N$3,TEXT(DATE(YEAR(H60)-(($I60/12)-1),MONTH(H60),DAY(H60)),"dd/mm/yyyy"),", ",Constants!$O$3,TEXT($H60,"dd/mm/yyyy")),IF(($I60/12)=1,_xlfn.CONCAT(Constants!$N$2,TEXT($H60,"dd/mm/yyyy")),"Update Constants"))))))),"")</f>
        <v>3.5% to 31/01/2026, 2.5% to 31/01/2027, 1.5% to 31/01/2028</v>
      </c>
      <c r="BC60" s="147">
        <f>_xlfn.IFNA(VALUE(INDEX(Producer!$K:$K,MATCH($D60,Producer!$A:$A,0))),"")</f>
        <v>0</v>
      </c>
      <c r="BD60" s="147" t="str">
        <f>_xlfn.IFNA(INDEX(Producer!$I:$I,MATCH($D60,Producer!$A:$A,0)),"")</f>
        <v>No</v>
      </c>
      <c r="BE60" s="147" t="str">
        <f t="shared" si="8"/>
        <v>Yes</v>
      </c>
      <c r="BF60" s="147"/>
      <c r="BG60" s="147"/>
      <c r="BH60" s="151">
        <f>_xlfn.IFNA(INDEX(Constants!$B:$B,MATCH(BC60,Constants!A:A,0)),"")</f>
        <v>0</v>
      </c>
      <c r="BI60" s="147">
        <f>IF(LEFT(B60,15)="Limited Company",Constants!$D$16,IFERROR(_xlfn.IFNA(IF(C60="Residential",IF(BK60&lt;75,INDEX(Constants!$B:$B,MATCH(VALUE(60)/100,Constants!$A:$A,0)),INDEX(Constants!$B:$B,MATCH(VALUE(BK60)/100,Constants!$A:$A,0))),IF(BK60&lt;60,INDEX(Constants!$C:$C,MATCH(VALUE(60)/100,Constants!$A:$A,0)),INDEX(Constants!$C:$C,MATCH(VALUE(BK60)/100,Constants!$A:$A,0)))),""),""))</f>
        <v>2000000</v>
      </c>
      <c r="BJ60" s="147">
        <f t="shared" si="9"/>
        <v>0</v>
      </c>
      <c r="BK60" s="147">
        <f>_xlfn.IFNA(VALUE(INDEX(Producer!$E:$E,MATCH($D60,Producer!$A:$A,0)))*100,"")</f>
        <v>85</v>
      </c>
      <c r="BL60" s="146" t="str">
        <f>_xlfn.IFNA(IF(IFERROR(FIND("Part &amp; Part",B60),-10)&gt;0,"PP",IF(OR(LEFT(B60,25)="Residential Interest Only",INDEX(Producer!$P:$P,MATCH($D60,Producer!$A:$A,0))="IO",INDEX(Producer!$P:$P,MATCH($D60,Producer!$A:$A,0))="Retirement Interest Only"),"IO",IF($C60="BuyToLet","CI, IO","CI"))),"")</f>
        <v>CI</v>
      </c>
      <c r="BM60" s="152" t="str">
        <f>_xlfn.IFNA(IF(BL60="IO",100%,IF(AND(INDEX(Producer!$P:$P,MATCH($D60,Producer!$A:$A,0))="Residential Interest Only Part &amp; Part",BK60=75),80%,IF(C60="BuyToLet",100%,IF(BL60="Interest Only",100%,IF(AND(INDEX(Producer!$P:$P,MATCH($D60,Producer!$A:$A,0))="Residential Interest Only Part &amp; Part",BK60=60),100%,""))))),"")</f>
        <v/>
      </c>
      <c r="BN60" s="218" t="str">
        <f>_xlfn.IFNA(IF(VALUE(INDEX(Producer!$H:$H,MATCH($D60,Producer!$A:$A,0)))=0,"",VALUE(INDEX(Producer!$H:$H,MATCH($D60,Producer!$A:$A,0)))),"")</f>
        <v/>
      </c>
      <c r="BO60" s="153"/>
      <c r="BP60" s="153"/>
      <c r="BQ60" s="219">
        <f t="shared" si="10"/>
        <v>35</v>
      </c>
      <c r="BR60" s="146"/>
      <c r="BS60" s="146"/>
      <c r="BT60" s="146"/>
      <c r="BU60" s="146"/>
      <c r="BV60" s="219">
        <f t="shared" si="11"/>
        <v>199</v>
      </c>
      <c r="BW60" s="146"/>
      <c r="BX60" s="146"/>
      <c r="BY60" s="146" t="str">
        <f t="shared" si="12"/>
        <v>No</v>
      </c>
      <c r="BZ60" s="146" t="str">
        <f t="shared" si="13"/>
        <v>No</v>
      </c>
      <c r="CA60" s="146" t="str">
        <f t="shared" si="14"/>
        <v>No</v>
      </c>
      <c r="CB60" s="146" t="str">
        <f t="shared" si="15"/>
        <v>No</v>
      </c>
      <c r="CC60" s="146" t="str">
        <f>_xlfn.IFNA(IF(INDEX(Producer!$P:$P,MATCH($D60,Producer!$A:$A,0))="Help to Buy","Only available","No"),"")</f>
        <v>No</v>
      </c>
      <c r="CD60" s="146" t="str">
        <f>_xlfn.IFNA(IF(INDEX(Producer!$P:$P,MATCH($D60,Producer!$A:$A,0))="Shared Ownership","Only available","No"),"")</f>
        <v>Only available</v>
      </c>
      <c r="CE60" s="146" t="str">
        <f>_xlfn.IFNA(IF(INDEX(Producer!$P:$P,MATCH($D60,Producer!$A:$A,0))="Right to Buy","Only available","No"),"")</f>
        <v>No</v>
      </c>
      <c r="CF60" s="146" t="str">
        <f t="shared" si="16"/>
        <v>No</v>
      </c>
      <c r="CG60" s="146" t="str">
        <f>_xlfn.IFNA(IF(INDEX(Producer!$P:$P,MATCH($D60,Producer!$A:$A,0))="Retirement Interest Only","Only available","No"),"")</f>
        <v>No</v>
      </c>
      <c r="CH60" s="146" t="str">
        <f t="shared" si="17"/>
        <v>No</v>
      </c>
      <c r="CI60" s="146" t="str">
        <f>_xlfn.IFNA(IF(INDEX(Producer!$P:$P,MATCH($D60,Producer!$A:$A,0))="Intermediary Holiday Let","Only available","No"),"")</f>
        <v>No</v>
      </c>
      <c r="CJ60" s="146" t="str">
        <f t="shared" si="18"/>
        <v>No</v>
      </c>
      <c r="CK60" s="146" t="str">
        <f>_xlfn.IFNA(IF(OR(INDEX(Producer!$P:$P,MATCH($D60,Producer!$A:$A,0))="Intermediary Small HMO",INDEX(Producer!$P:$P,MATCH($D60,Producer!$A:$A,0))="Intermediary Large HMO"),"Only available","No"),"")</f>
        <v>No</v>
      </c>
      <c r="CL60" s="146" t="str">
        <f t="shared" si="19"/>
        <v>No</v>
      </c>
      <c r="CM60" s="146" t="str">
        <f t="shared" si="20"/>
        <v>No</v>
      </c>
      <c r="CN60" s="146" t="str">
        <f t="shared" si="21"/>
        <v>No</v>
      </c>
      <c r="CO60" s="146" t="str">
        <f t="shared" si="22"/>
        <v>Also available</v>
      </c>
      <c r="CP60" s="146" t="str">
        <f t="shared" si="23"/>
        <v>No</v>
      </c>
      <c r="CQ60" s="146" t="str">
        <f t="shared" si="24"/>
        <v>No</v>
      </c>
      <c r="CR60" s="146" t="str">
        <f t="shared" si="25"/>
        <v>Also available</v>
      </c>
      <c r="CS60" s="146" t="str">
        <f t="shared" si="26"/>
        <v>Only available</v>
      </c>
      <c r="CT60" s="146" t="str">
        <f t="shared" si="27"/>
        <v>No</v>
      </c>
      <c r="CU60" s="146"/>
    </row>
    <row r="61" spans="1:99" ht="16.399999999999999" customHeight="1" x14ac:dyDescent="0.35">
      <c r="A61" s="145" t="str">
        <f t="shared" si="0"/>
        <v>Leeds Building Society</v>
      </c>
      <c r="B61" s="145" t="str">
        <f>_xlfn.IFNA(_xlfn.CONCAT(INDEX(Producer!$P:$P,MATCH($D61,Producer!$A:$A,0))," ",IF(INDEX(Producer!$N:$N,MATCH($D61,Producer!$A:$A,0))="Yes","Green ",""),IF(AND(INDEX(Producer!$L:$L,MATCH($D61,Producer!$A:$A,0))="No",INDEX(Producer!$C:$C,MATCH($D61,Producer!$A:$A,0))="Fixed"),"Flexit ",""),INDEX(Producer!$B:$B,MATCH($D61,Producer!$A:$A,0))," Year ",INDEX(Producer!$C:$C,MATCH($D61,Producer!$A:$A,0))," ",VALUE(INDEX(Producer!$E:$E,MATCH($D61,Producer!$A:$A,0)))*100,"% LTV",IF(INDEX(Producer!$N:$N,MATCH($D61,Producer!$A:$A,0))="Yes"," (EPC A-C)","")," - ",IF(INDEX(Producer!$D:$D,MATCH($D61,Producer!$A:$A,0))="DLY","Daily","Annual")),"")</f>
        <v>Shared Ownership 3 Year Fixed 95% LTV - Daily</v>
      </c>
      <c r="C61" s="146" t="str">
        <f>_xlfn.IFNA(INDEX(Producer!$Q:$Q,MATCH($D61,Producer!$A:$A,0)),"")</f>
        <v>Residential</v>
      </c>
      <c r="D61" s="146">
        <f>IFERROR(VALUE(MID(Producer!$R$2,IF($D60="",1/0,FIND(_xlfn.CONCAT($D59,$D60),Producer!$R$2)+10),5)),"")</f>
        <v>54307</v>
      </c>
      <c r="E61" s="146" t="str">
        <f t="shared" si="1"/>
        <v>Stepped Fixed</v>
      </c>
      <c r="F61" s="146"/>
      <c r="G61" s="147">
        <f>_xlfn.IFNA(VALUE(INDEX(Producer!$F:$F,MATCH($D61,Producer!$A:$A,0)))*100,"")</f>
        <v>5.59</v>
      </c>
      <c r="H61" s="216">
        <f>_xlfn.IFNA(IFERROR(DATEVALUE(INDEX(Producer!$M:$M,MATCH($D61,Producer!$A:$A,0))),(INDEX(Producer!$M:$M,MATCH($D61,Producer!$A:$A,0)))),"")</f>
        <v>46783</v>
      </c>
      <c r="I61" s="217">
        <f>_xlfn.IFNA(VALUE(INDEX(Producer!$B:$B,MATCH($D61,Producer!$A:$A,0)))*12,"")</f>
        <v>36</v>
      </c>
      <c r="J61" s="146">
        <f>_xlfn.IFNA(IF(C61="Residential",IF(VALUE(INDEX(Producer!$B:$B,MATCH($D61,Producer!$A:$A,0)))&lt;5,Constants!$C$10,""),IF(VALUE(INDEX(Producer!$B:$B,MATCH($D61,Producer!$A:$A,0)))&lt;5,Constants!$C$11,"")),"")</f>
        <v>7.49</v>
      </c>
      <c r="K61" s="216">
        <f>_xlfn.IFNA(IF(($I61)&lt;60,DATE(YEAR(H61)+(5-VALUE(INDEX(Producer!$B:$B,MATCH($D61,Producer!$A:$A,0)))),MONTH(H61),DAY(H61)),""),"")</f>
        <v>47514</v>
      </c>
      <c r="L61" s="153">
        <f t="shared" si="2"/>
        <v>24</v>
      </c>
      <c r="M61" s="146"/>
      <c r="N61" s="148"/>
      <c r="O61" s="148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>
        <f>IF(D61="","",IF(C61="Residential",Constants!$B$10,Constants!$B$11))</f>
        <v>8.24</v>
      </c>
      <c r="AL61" s="146" t="str">
        <f t="shared" si="3"/>
        <v>SVR</v>
      </c>
      <c r="AM61" s="206" t="str">
        <f t="shared" si="4"/>
        <v/>
      </c>
      <c r="AN61" s="146">
        <f t="shared" si="5"/>
        <v>10</v>
      </c>
      <c r="AO61" s="149" t="str">
        <f t="shared" si="6"/>
        <v>Remortgage</v>
      </c>
      <c r="AP61" s="150" t="str">
        <f t="shared" si="7"/>
        <v>ProductTransfer</v>
      </c>
      <c r="AQ61" s="146">
        <f>IFERROR(_xlfn.IFNA(IF($BA61="No",0,IF(INDEX(Constants!B:B,MATCH(($I61/12),Constants!$A:$A,0))=0,0,INDEX(Constants!B:B,MATCH(($I61/12),Constants!$A:$A,0)))),0),"")</f>
        <v>3.5</v>
      </c>
      <c r="AR61" s="146">
        <f>IFERROR(_xlfn.IFNA(IF($BA61="No",0,IF(INDEX(Constants!C:C,MATCH(($I61/12),Constants!$A:$A,0))=0,0,INDEX(Constants!C:C,MATCH(($I61/12),Constants!$A:$A,0)))),0),"")</f>
        <v>2.5</v>
      </c>
      <c r="AS61" s="146">
        <f>IFERROR(_xlfn.IFNA(IF($BA61="No",0,IF(INDEX(Constants!D:D,MATCH(($I61/12),Constants!$A:$A,0))=0,0,INDEX(Constants!D:D,MATCH(($I61/12),Constants!$A:$A,0)))),0),"")</f>
        <v>1.5</v>
      </c>
      <c r="AT61" s="146">
        <f>IFERROR(_xlfn.IFNA(IF($BA61="No",0,IF(INDEX(Constants!E:E,MATCH(($I61/12),Constants!$A:$A,0))=0,0,INDEX(Constants!E:E,MATCH(($I61/12),Constants!$A:$A,0)))),0),"")</f>
        <v>0</v>
      </c>
      <c r="AU61" s="146">
        <f>IFERROR(_xlfn.IFNA(IF($BA61="No",0,IF(INDEX(Constants!F:F,MATCH(($I61/12),Constants!$A:$A,0))=0,0,INDEX(Constants!F:F,MATCH(($I61/12),Constants!$A:$A,0)))),0),"")</f>
        <v>0</v>
      </c>
      <c r="AV61" s="146">
        <f>IFERROR(_xlfn.IFNA(IF($BA61="No",0,IF(INDEX(Constants!G:G,MATCH(($I61/12),Constants!$A:$A,0))=0,0,INDEX(Constants!G:G,MATCH(($I61/12),Constants!$A:$A,0)))),0),"")</f>
        <v>0</v>
      </c>
      <c r="AW61" s="146">
        <f>IFERROR(_xlfn.IFNA(IF($BA61="No",0,IF(INDEX(Constants!H:H,MATCH(($I61/12),Constants!$A:$A,0))=0,0,INDEX(Constants!H:H,MATCH(($I61/12),Constants!$A:$A,0)))),0),"")</f>
        <v>0</v>
      </c>
      <c r="AX61" s="146">
        <f>IFERROR(_xlfn.IFNA(IF($BA61="No",0,IF(INDEX(Constants!I:I,MATCH(($I61/12),Constants!$A:$A,0))=0,0,INDEX(Constants!I:I,MATCH(($I61/12),Constants!$A:$A,0)))),0),"")</f>
        <v>0</v>
      </c>
      <c r="AY61" s="146">
        <f>IFERROR(_xlfn.IFNA(IF($BA61="No",0,IF(INDEX(Constants!J:J,MATCH(($I61/12),Constants!$A:$A,0))=0,0,INDEX(Constants!J:J,MATCH(($I61/12),Constants!$A:$A,0)))),0),"")</f>
        <v>0</v>
      </c>
      <c r="AZ61" s="146">
        <f>IFERROR(_xlfn.IFNA(IF($BA61="No",0,IF(INDEX(Constants!K:K,MATCH(($I61/12),Constants!$A:$A,0))=0,0,INDEX(Constants!K:K,MATCH(($I61/12),Constants!$A:$A,0)))),0),"")</f>
        <v>0</v>
      </c>
      <c r="BA61" s="147" t="str">
        <f>_xlfn.IFNA(INDEX(Producer!$L:$L,MATCH($D61,Producer!$A:$A,0)),"")</f>
        <v>Yes</v>
      </c>
      <c r="BB61" s="146" t="str">
        <f>IFERROR(IF(AQ61=0,"",IF(($I61/12)=15,_xlfn.CONCAT(Constants!$N$7,TEXT(DATE(YEAR(H61)-(($I61/12)-3),MONTH(H61),DAY(H61)),"dd/mm/yyyy"),", ",Constants!$P$7,TEXT(DATE(YEAR(H61)-(($I61/12)-8),MONTH(H61),DAY(H61)),"dd/mm/yyyy"),", ",Constants!$T$7,TEXT(DATE(YEAR(H61)-(($I61/12)-11),MONTH(H61),DAY(H61)),"dd/mm/yyyy"),", ",Constants!$V$7,TEXT(DATE(YEAR(H61)-(($I61/12)-13),MONTH(H61),DAY(H61)),"dd/mm/yyyy"),", ",Constants!$W$7,TEXT($H61,"dd/mm/yyyy")),IF(($I61/12)=10,_xlfn.CONCAT(Constants!$N$6,TEXT(DATE(YEAR(H61)-(($I61/12)-2),MONTH(H61),DAY(H61)),"dd/mm/yyyy"),", ",Constants!$P$6,TEXT(DATE(YEAR(H61)-(($I61/12)-6),MONTH(H61),DAY(H61)),"dd/mm/yyyy"),", ",Constants!$T$6,TEXT(DATE(YEAR(H61)-(($I61/12)-8),MONTH(H61),DAY(H61)),"dd/mm/yyyy"),", ",Constants!$V$6,TEXT(DATE(YEAR(H61)-(($I61/12)-9),MONTH(H61),DAY(H61)),"dd/mm/yyyy"),", ",Constants!$W$6,TEXT($H61,"dd/mm/yyyy")),IF(($I61/12)=5,_xlfn.CONCAT(Constants!$N$5,TEXT(DATE(YEAR(H61)-(($I61/12)-1),MONTH(H61),DAY(H61)),"dd/mm/yyyy"),", ",Constants!$O$5,TEXT(DATE(YEAR(H61)-(($I61/12)-2),MONTH(H61),DAY(H61)),"dd/mm/yyyy"),", ",Constants!$P$5,TEXT(DATE(YEAR(H61)-(($I61/12)-3),MONTH(H61),DAY(H61)),"dd/mm/yyyy"),", ",Constants!$Q$5,TEXT(DATE(YEAR(H61)-(($I61/12)-4),MONTH(H61),DAY(H61)),"dd/mm/yyyy"),", ",Constants!$R$5,TEXT($H61,"dd/mm/yyyy")),IF(($I61/12)=3,_xlfn.CONCAT(Constants!$N$4,TEXT(DATE(YEAR(H61)-(($I61/12)-1),MONTH(H61),DAY(H61)),"dd/mm/yyyy"),", ",Constants!$O$4,TEXT(DATE(YEAR(H61)-(($I61/12)-2),MONTH(H61),DAY(H61)),"dd/mm/yyyy"),", ",Constants!$P$4,TEXT($H61,"dd/mm/yyyy")),IF(($I61/12)=2,_xlfn.CONCAT(Constants!$N$3,TEXT(DATE(YEAR(H61)-(($I61/12)-1),MONTH(H61),DAY(H61)),"dd/mm/yyyy"),", ",Constants!$O$3,TEXT($H61,"dd/mm/yyyy")),IF(($I61/12)=1,_xlfn.CONCAT(Constants!$N$2,TEXT($H61,"dd/mm/yyyy")),"Update Constants"))))))),"")</f>
        <v>3.5% to 31/01/2026, 2.5% to 31/01/2027, 1.5% to 31/01/2028</v>
      </c>
      <c r="BC61" s="147">
        <f>_xlfn.IFNA(VALUE(INDEX(Producer!$K:$K,MATCH($D61,Producer!$A:$A,0))),"")</f>
        <v>0</v>
      </c>
      <c r="BD61" s="147" t="str">
        <f>_xlfn.IFNA(INDEX(Producer!$I:$I,MATCH($D61,Producer!$A:$A,0)),"")</f>
        <v>No</v>
      </c>
      <c r="BE61" s="147" t="str">
        <f t="shared" si="8"/>
        <v>Yes</v>
      </c>
      <c r="BF61" s="147"/>
      <c r="BG61" s="147"/>
      <c r="BH61" s="151">
        <f>_xlfn.IFNA(INDEX(Constants!$B:$B,MATCH(BC61,Constants!A:A,0)),"")</f>
        <v>0</v>
      </c>
      <c r="BI61" s="147">
        <f>IF(LEFT(B61,15)="Limited Company",Constants!$D$16,IFERROR(_xlfn.IFNA(IF(C61="Residential",IF(BK61&lt;75,INDEX(Constants!$B:$B,MATCH(VALUE(60)/100,Constants!$A:$A,0)),INDEX(Constants!$B:$B,MATCH(VALUE(BK61)/100,Constants!$A:$A,0))),IF(BK61&lt;60,INDEX(Constants!$C:$C,MATCH(VALUE(60)/100,Constants!$A:$A,0)),INDEX(Constants!$C:$C,MATCH(VALUE(BK61)/100,Constants!$A:$A,0)))),""),""))</f>
        <v>2000000</v>
      </c>
      <c r="BJ61" s="147">
        <f t="shared" si="9"/>
        <v>0</v>
      </c>
      <c r="BK61" s="147">
        <f>_xlfn.IFNA(VALUE(INDEX(Producer!$E:$E,MATCH($D61,Producer!$A:$A,0)))*100,"")</f>
        <v>95</v>
      </c>
      <c r="BL61" s="146" t="str">
        <f>_xlfn.IFNA(IF(IFERROR(FIND("Part &amp; Part",B61),-10)&gt;0,"PP",IF(OR(LEFT(B61,25)="Residential Interest Only",INDEX(Producer!$P:$P,MATCH($D61,Producer!$A:$A,0))="IO",INDEX(Producer!$P:$P,MATCH($D61,Producer!$A:$A,0))="Retirement Interest Only"),"IO",IF($C61="BuyToLet","CI, IO","CI"))),"")</f>
        <v>CI</v>
      </c>
      <c r="BM61" s="152" t="str">
        <f>_xlfn.IFNA(IF(BL61="IO",100%,IF(AND(INDEX(Producer!$P:$P,MATCH($D61,Producer!$A:$A,0))="Residential Interest Only Part &amp; Part",BK61=75),80%,IF(C61="BuyToLet",100%,IF(BL61="Interest Only",100%,IF(AND(INDEX(Producer!$P:$P,MATCH($D61,Producer!$A:$A,0))="Residential Interest Only Part &amp; Part",BK61=60),100%,""))))),"")</f>
        <v/>
      </c>
      <c r="BN61" s="218" t="str">
        <f>_xlfn.IFNA(IF(VALUE(INDEX(Producer!$H:$H,MATCH($D61,Producer!$A:$A,0)))=0,"",VALUE(INDEX(Producer!$H:$H,MATCH($D61,Producer!$A:$A,0)))),"")</f>
        <v/>
      </c>
      <c r="BO61" s="153"/>
      <c r="BP61" s="153"/>
      <c r="BQ61" s="219">
        <f t="shared" si="10"/>
        <v>35</v>
      </c>
      <c r="BR61" s="146"/>
      <c r="BS61" s="146"/>
      <c r="BT61" s="146"/>
      <c r="BU61" s="146"/>
      <c r="BV61" s="219">
        <f t="shared" si="11"/>
        <v>199</v>
      </c>
      <c r="BW61" s="146"/>
      <c r="BX61" s="146"/>
      <c r="BY61" s="146" t="str">
        <f t="shared" si="12"/>
        <v>No</v>
      </c>
      <c r="BZ61" s="146" t="str">
        <f t="shared" si="13"/>
        <v>No</v>
      </c>
      <c r="CA61" s="146" t="str">
        <f t="shared" si="14"/>
        <v>No</v>
      </c>
      <c r="CB61" s="146" t="str">
        <f t="shared" si="15"/>
        <v>No</v>
      </c>
      <c r="CC61" s="146" t="str">
        <f>_xlfn.IFNA(IF(INDEX(Producer!$P:$P,MATCH($D61,Producer!$A:$A,0))="Help to Buy","Only available","No"),"")</f>
        <v>No</v>
      </c>
      <c r="CD61" s="146" t="str">
        <f>_xlfn.IFNA(IF(INDEX(Producer!$P:$P,MATCH($D61,Producer!$A:$A,0))="Shared Ownership","Only available","No"),"")</f>
        <v>Only available</v>
      </c>
      <c r="CE61" s="146" t="str">
        <f>_xlfn.IFNA(IF(INDEX(Producer!$P:$P,MATCH($D61,Producer!$A:$A,0))="Right to Buy","Only available","No"),"")</f>
        <v>No</v>
      </c>
      <c r="CF61" s="146" t="str">
        <f t="shared" si="16"/>
        <v>No</v>
      </c>
      <c r="CG61" s="146" t="str">
        <f>_xlfn.IFNA(IF(INDEX(Producer!$P:$P,MATCH($D61,Producer!$A:$A,0))="Retirement Interest Only","Only available","No"),"")</f>
        <v>No</v>
      </c>
      <c r="CH61" s="146" t="str">
        <f t="shared" si="17"/>
        <v>No</v>
      </c>
      <c r="CI61" s="146" t="str">
        <f>_xlfn.IFNA(IF(INDEX(Producer!$P:$P,MATCH($D61,Producer!$A:$A,0))="Intermediary Holiday Let","Only available","No"),"")</f>
        <v>No</v>
      </c>
      <c r="CJ61" s="146" t="str">
        <f t="shared" si="18"/>
        <v>No</v>
      </c>
      <c r="CK61" s="146" t="str">
        <f>_xlfn.IFNA(IF(OR(INDEX(Producer!$P:$P,MATCH($D61,Producer!$A:$A,0))="Intermediary Small HMO",INDEX(Producer!$P:$P,MATCH($D61,Producer!$A:$A,0))="Intermediary Large HMO"),"Only available","No"),"")</f>
        <v>No</v>
      </c>
      <c r="CL61" s="146" t="str">
        <f t="shared" si="19"/>
        <v>No</v>
      </c>
      <c r="CM61" s="146" t="str">
        <f t="shared" si="20"/>
        <v>No</v>
      </c>
      <c r="CN61" s="146" t="str">
        <f t="shared" si="21"/>
        <v>No</v>
      </c>
      <c r="CO61" s="146" t="str">
        <f t="shared" si="22"/>
        <v>No</v>
      </c>
      <c r="CP61" s="146" t="str">
        <f t="shared" si="23"/>
        <v>No</v>
      </c>
      <c r="CQ61" s="146" t="str">
        <f t="shared" si="24"/>
        <v>No</v>
      </c>
      <c r="CR61" s="146" t="str">
        <f t="shared" si="25"/>
        <v>Also available</v>
      </c>
      <c r="CS61" s="146" t="str">
        <f t="shared" si="26"/>
        <v>Only available</v>
      </c>
      <c r="CT61" s="146" t="str">
        <f t="shared" si="27"/>
        <v>No</v>
      </c>
      <c r="CU61" s="146"/>
    </row>
    <row r="62" spans="1:99" ht="16.399999999999999" customHeight="1" x14ac:dyDescent="0.35">
      <c r="A62" s="145" t="str">
        <f t="shared" si="0"/>
        <v>Leeds Building Society</v>
      </c>
      <c r="B62" s="145" t="str">
        <f>_xlfn.IFNA(_xlfn.CONCAT(INDEX(Producer!$P:$P,MATCH($D62,Producer!$A:$A,0))," ",IF(INDEX(Producer!$N:$N,MATCH($D62,Producer!$A:$A,0))="Yes","Green ",""),IF(AND(INDEX(Producer!$L:$L,MATCH($D62,Producer!$A:$A,0))="No",INDEX(Producer!$C:$C,MATCH($D62,Producer!$A:$A,0))="Fixed"),"Flexit ",""),INDEX(Producer!$B:$B,MATCH($D62,Producer!$A:$A,0))," Year ",INDEX(Producer!$C:$C,MATCH($D62,Producer!$A:$A,0))," ",VALUE(INDEX(Producer!$E:$E,MATCH($D62,Producer!$A:$A,0)))*100,"% LTV",IF(INDEX(Producer!$N:$N,MATCH($D62,Producer!$A:$A,0))="Yes"," (EPC A-C)","")," - ",IF(INDEX(Producer!$D:$D,MATCH($D62,Producer!$A:$A,0))="DLY","Daily","Annual")),"")</f>
        <v>Shared Ownership 5 Year Fixed 85% LTV - Daily</v>
      </c>
      <c r="C62" s="146" t="str">
        <f>_xlfn.IFNA(INDEX(Producer!$Q:$Q,MATCH($D62,Producer!$A:$A,0)),"")</f>
        <v>Residential</v>
      </c>
      <c r="D62" s="146">
        <f>IFERROR(VALUE(MID(Producer!$R$2,IF($D61="",1/0,FIND(_xlfn.CONCAT($D60,$D61),Producer!$R$2)+10),5)),"")</f>
        <v>54308</v>
      </c>
      <c r="E62" s="146" t="str">
        <f t="shared" si="1"/>
        <v>Fixed</v>
      </c>
      <c r="F62" s="146"/>
      <c r="G62" s="147">
        <f>_xlfn.IFNA(VALUE(INDEX(Producer!$F:$F,MATCH($D62,Producer!$A:$A,0)))*100,"")</f>
        <v>4.29</v>
      </c>
      <c r="H62" s="216">
        <f>_xlfn.IFNA(IFERROR(DATEVALUE(INDEX(Producer!$M:$M,MATCH($D62,Producer!$A:$A,0))),(INDEX(Producer!$M:$M,MATCH($D62,Producer!$A:$A,0)))),"")</f>
        <v>47514</v>
      </c>
      <c r="I62" s="217">
        <f>_xlfn.IFNA(VALUE(INDEX(Producer!$B:$B,MATCH($D62,Producer!$A:$A,0)))*12,"")</f>
        <v>60</v>
      </c>
      <c r="J62" s="146" t="str">
        <f>_xlfn.IFNA(IF(C62="Residential",IF(VALUE(INDEX(Producer!$B:$B,MATCH($D62,Producer!$A:$A,0)))&lt;5,Constants!$C$10,""),IF(VALUE(INDEX(Producer!$B:$B,MATCH($D62,Producer!$A:$A,0)))&lt;5,Constants!$C$11,"")),"")</f>
        <v/>
      </c>
      <c r="K62" s="216" t="str">
        <f>_xlfn.IFNA(IF(($I62)&lt;60,DATE(YEAR(H62)+(5-VALUE(INDEX(Producer!$B:$B,MATCH($D62,Producer!$A:$A,0)))),MONTH(H62),DAY(H62)),""),"")</f>
        <v/>
      </c>
      <c r="L62" s="153" t="str">
        <f t="shared" si="2"/>
        <v/>
      </c>
      <c r="M62" s="146"/>
      <c r="N62" s="148"/>
      <c r="O62" s="148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>
        <f>IF(D62="","",IF(C62="Residential",Constants!$B$10,Constants!$B$11))</f>
        <v>8.24</v>
      </c>
      <c r="AL62" s="146" t="str">
        <f t="shared" si="3"/>
        <v>SVR</v>
      </c>
      <c r="AM62" s="206" t="str">
        <f t="shared" si="4"/>
        <v/>
      </c>
      <c r="AN62" s="146">
        <f t="shared" si="5"/>
        <v>10</v>
      </c>
      <c r="AO62" s="149" t="str">
        <f t="shared" si="6"/>
        <v>Remortgage</v>
      </c>
      <c r="AP62" s="150" t="str">
        <f t="shared" si="7"/>
        <v>ProductTransfer</v>
      </c>
      <c r="AQ62" s="146">
        <f>IFERROR(_xlfn.IFNA(IF($BA62="No",0,IF(INDEX(Constants!B:B,MATCH(($I62/12),Constants!$A:$A,0))=0,0,INDEX(Constants!B:B,MATCH(($I62/12),Constants!$A:$A,0)))),0),"")</f>
        <v>5</v>
      </c>
      <c r="AR62" s="146">
        <f>IFERROR(_xlfn.IFNA(IF($BA62="No",0,IF(INDEX(Constants!C:C,MATCH(($I62/12),Constants!$A:$A,0))=0,0,INDEX(Constants!C:C,MATCH(($I62/12),Constants!$A:$A,0)))),0),"")</f>
        <v>5</v>
      </c>
      <c r="AS62" s="146">
        <f>IFERROR(_xlfn.IFNA(IF($BA62="No",0,IF(INDEX(Constants!D:D,MATCH(($I62/12),Constants!$A:$A,0))=0,0,INDEX(Constants!D:D,MATCH(($I62/12),Constants!$A:$A,0)))),0),"")</f>
        <v>4</v>
      </c>
      <c r="AT62" s="146">
        <f>IFERROR(_xlfn.IFNA(IF($BA62="No",0,IF(INDEX(Constants!E:E,MATCH(($I62/12),Constants!$A:$A,0))=0,0,INDEX(Constants!E:E,MATCH(($I62/12),Constants!$A:$A,0)))),0),"")</f>
        <v>3</v>
      </c>
      <c r="AU62" s="146">
        <f>IFERROR(_xlfn.IFNA(IF($BA62="No",0,IF(INDEX(Constants!F:F,MATCH(($I62/12),Constants!$A:$A,0))=0,0,INDEX(Constants!F:F,MATCH(($I62/12),Constants!$A:$A,0)))),0),"")</f>
        <v>2</v>
      </c>
      <c r="AV62" s="146">
        <f>IFERROR(_xlfn.IFNA(IF($BA62="No",0,IF(INDEX(Constants!G:G,MATCH(($I62/12),Constants!$A:$A,0))=0,0,INDEX(Constants!G:G,MATCH(($I62/12),Constants!$A:$A,0)))),0),"")</f>
        <v>0</v>
      </c>
      <c r="AW62" s="146">
        <f>IFERROR(_xlfn.IFNA(IF($BA62="No",0,IF(INDEX(Constants!H:H,MATCH(($I62/12),Constants!$A:$A,0))=0,0,INDEX(Constants!H:H,MATCH(($I62/12),Constants!$A:$A,0)))),0),"")</f>
        <v>0</v>
      </c>
      <c r="AX62" s="146">
        <f>IFERROR(_xlfn.IFNA(IF($BA62="No",0,IF(INDEX(Constants!I:I,MATCH(($I62/12),Constants!$A:$A,0))=0,0,INDEX(Constants!I:I,MATCH(($I62/12),Constants!$A:$A,0)))),0),"")</f>
        <v>0</v>
      </c>
      <c r="AY62" s="146">
        <f>IFERROR(_xlfn.IFNA(IF($BA62="No",0,IF(INDEX(Constants!J:J,MATCH(($I62/12),Constants!$A:$A,0))=0,0,INDEX(Constants!J:J,MATCH(($I62/12),Constants!$A:$A,0)))),0),"")</f>
        <v>0</v>
      </c>
      <c r="AZ62" s="146">
        <f>IFERROR(_xlfn.IFNA(IF($BA62="No",0,IF(INDEX(Constants!K:K,MATCH(($I62/12),Constants!$A:$A,0))=0,0,INDEX(Constants!K:K,MATCH(($I62/12),Constants!$A:$A,0)))),0),"")</f>
        <v>0</v>
      </c>
      <c r="BA62" s="147" t="str">
        <f>_xlfn.IFNA(INDEX(Producer!$L:$L,MATCH($D62,Producer!$A:$A,0)),"")</f>
        <v>Yes</v>
      </c>
      <c r="BB62" s="146" t="str">
        <f>IFERROR(IF(AQ62=0,"",IF(($I62/12)=15,_xlfn.CONCAT(Constants!$N$7,TEXT(DATE(YEAR(H62)-(($I62/12)-3),MONTH(H62),DAY(H62)),"dd/mm/yyyy"),", ",Constants!$P$7,TEXT(DATE(YEAR(H62)-(($I62/12)-8),MONTH(H62),DAY(H62)),"dd/mm/yyyy"),", ",Constants!$T$7,TEXT(DATE(YEAR(H62)-(($I62/12)-11),MONTH(H62),DAY(H62)),"dd/mm/yyyy"),", ",Constants!$V$7,TEXT(DATE(YEAR(H62)-(($I62/12)-13),MONTH(H62),DAY(H62)),"dd/mm/yyyy"),", ",Constants!$W$7,TEXT($H62,"dd/mm/yyyy")),IF(($I62/12)=10,_xlfn.CONCAT(Constants!$N$6,TEXT(DATE(YEAR(H62)-(($I62/12)-2),MONTH(H62),DAY(H62)),"dd/mm/yyyy"),", ",Constants!$P$6,TEXT(DATE(YEAR(H62)-(($I62/12)-6),MONTH(H62),DAY(H62)),"dd/mm/yyyy"),", ",Constants!$T$6,TEXT(DATE(YEAR(H62)-(($I62/12)-8),MONTH(H62),DAY(H62)),"dd/mm/yyyy"),", ",Constants!$V$6,TEXT(DATE(YEAR(H62)-(($I62/12)-9),MONTH(H62),DAY(H62)),"dd/mm/yyyy"),", ",Constants!$W$6,TEXT($H62,"dd/mm/yyyy")),IF(($I62/12)=5,_xlfn.CONCAT(Constants!$N$5,TEXT(DATE(YEAR(H62)-(($I62/12)-1),MONTH(H62),DAY(H62)),"dd/mm/yyyy"),", ",Constants!$O$5,TEXT(DATE(YEAR(H62)-(($I62/12)-2),MONTH(H62),DAY(H62)),"dd/mm/yyyy"),", ",Constants!$P$5,TEXT(DATE(YEAR(H62)-(($I62/12)-3),MONTH(H62),DAY(H62)),"dd/mm/yyyy"),", ",Constants!$Q$5,TEXT(DATE(YEAR(H62)-(($I62/12)-4),MONTH(H62),DAY(H62)),"dd/mm/yyyy"),", ",Constants!$R$5,TEXT($H62,"dd/mm/yyyy")),IF(($I62/12)=3,_xlfn.CONCAT(Constants!$N$4,TEXT(DATE(YEAR(H62)-(($I62/12)-1),MONTH(H62),DAY(H62)),"dd/mm/yyyy"),", ",Constants!$O$4,TEXT(DATE(YEAR(H62)-(($I62/12)-2),MONTH(H62),DAY(H62)),"dd/mm/yyyy"),", ",Constants!$P$4,TEXT($H62,"dd/mm/yyyy")),IF(($I62/12)=2,_xlfn.CONCAT(Constants!$N$3,TEXT(DATE(YEAR(H62)-(($I62/12)-1),MONTH(H62),DAY(H62)),"dd/mm/yyyy"),", ",Constants!$O$3,TEXT($H62,"dd/mm/yyyy")),IF(($I62/12)=1,_xlfn.CONCAT(Constants!$N$2,TEXT($H62,"dd/mm/yyyy")),"Update Constants"))))))),"")</f>
        <v>5% to 31/01/2026, 5% to 31/01/2027, 4% to 31/01/2028, 3% to 31/01/2029, 2% to 31/01/2030</v>
      </c>
      <c r="BC62" s="147">
        <f>_xlfn.IFNA(VALUE(INDEX(Producer!$K:$K,MATCH($D62,Producer!$A:$A,0))),"")</f>
        <v>0</v>
      </c>
      <c r="BD62" s="147" t="str">
        <f>_xlfn.IFNA(INDEX(Producer!$I:$I,MATCH($D62,Producer!$A:$A,0)),"")</f>
        <v>No</v>
      </c>
      <c r="BE62" s="147" t="str">
        <f t="shared" si="8"/>
        <v>Yes</v>
      </c>
      <c r="BF62" s="147"/>
      <c r="BG62" s="147"/>
      <c r="BH62" s="151">
        <f>_xlfn.IFNA(INDEX(Constants!$B:$B,MATCH(BC62,Constants!A:A,0)),"")</f>
        <v>0</v>
      </c>
      <c r="BI62" s="147">
        <f>IF(LEFT(B62,15)="Limited Company",Constants!$D$16,IFERROR(_xlfn.IFNA(IF(C62="Residential",IF(BK62&lt;75,INDEX(Constants!$B:$B,MATCH(VALUE(60)/100,Constants!$A:$A,0)),INDEX(Constants!$B:$B,MATCH(VALUE(BK62)/100,Constants!$A:$A,0))),IF(BK62&lt;60,INDEX(Constants!$C:$C,MATCH(VALUE(60)/100,Constants!$A:$A,0)),INDEX(Constants!$C:$C,MATCH(VALUE(BK62)/100,Constants!$A:$A,0)))),""),""))</f>
        <v>2000000</v>
      </c>
      <c r="BJ62" s="147">
        <f t="shared" si="9"/>
        <v>0</v>
      </c>
      <c r="BK62" s="147">
        <f>_xlfn.IFNA(VALUE(INDEX(Producer!$E:$E,MATCH($D62,Producer!$A:$A,0)))*100,"")</f>
        <v>85</v>
      </c>
      <c r="BL62" s="146" t="str">
        <f>_xlfn.IFNA(IF(IFERROR(FIND("Part &amp; Part",B62),-10)&gt;0,"PP",IF(OR(LEFT(B62,25)="Residential Interest Only",INDEX(Producer!$P:$P,MATCH($D62,Producer!$A:$A,0))="IO",INDEX(Producer!$P:$P,MATCH($D62,Producer!$A:$A,0))="Retirement Interest Only"),"IO",IF($C62="BuyToLet","CI, IO","CI"))),"")</f>
        <v>CI</v>
      </c>
      <c r="BM62" s="152" t="str">
        <f>_xlfn.IFNA(IF(BL62="IO",100%,IF(AND(INDEX(Producer!$P:$P,MATCH($D62,Producer!$A:$A,0))="Residential Interest Only Part &amp; Part",BK62=75),80%,IF(C62="BuyToLet",100%,IF(BL62="Interest Only",100%,IF(AND(INDEX(Producer!$P:$P,MATCH($D62,Producer!$A:$A,0))="Residential Interest Only Part &amp; Part",BK62=60),100%,""))))),"")</f>
        <v/>
      </c>
      <c r="BN62" s="218" t="str">
        <f>_xlfn.IFNA(IF(VALUE(INDEX(Producer!$H:$H,MATCH($D62,Producer!$A:$A,0)))=0,"",VALUE(INDEX(Producer!$H:$H,MATCH($D62,Producer!$A:$A,0)))),"")</f>
        <v/>
      </c>
      <c r="BO62" s="153"/>
      <c r="BP62" s="153"/>
      <c r="BQ62" s="219">
        <f t="shared" si="10"/>
        <v>35</v>
      </c>
      <c r="BR62" s="146"/>
      <c r="BS62" s="146"/>
      <c r="BT62" s="146"/>
      <c r="BU62" s="146"/>
      <c r="BV62" s="219">
        <f t="shared" si="11"/>
        <v>199</v>
      </c>
      <c r="BW62" s="146"/>
      <c r="BX62" s="146"/>
      <c r="BY62" s="146" t="str">
        <f t="shared" si="12"/>
        <v>No</v>
      </c>
      <c r="BZ62" s="146" t="str">
        <f t="shared" si="13"/>
        <v>No</v>
      </c>
      <c r="CA62" s="146" t="str">
        <f t="shared" si="14"/>
        <v>No</v>
      </c>
      <c r="CB62" s="146" t="str">
        <f t="shared" si="15"/>
        <v>No</v>
      </c>
      <c r="CC62" s="146" t="str">
        <f>_xlfn.IFNA(IF(INDEX(Producer!$P:$P,MATCH($D62,Producer!$A:$A,0))="Help to Buy","Only available","No"),"")</f>
        <v>No</v>
      </c>
      <c r="CD62" s="146" t="str">
        <f>_xlfn.IFNA(IF(INDEX(Producer!$P:$P,MATCH($D62,Producer!$A:$A,0))="Shared Ownership","Only available","No"),"")</f>
        <v>Only available</v>
      </c>
      <c r="CE62" s="146" t="str">
        <f>_xlfn.IFNA(IF(INDEX(Producer!$P:$P,MATCH($D62,Producer!$A:$A,0))="Right to Buy","Only available","No"),"")</f>
        <v>No</v>
      </c>
      <c r="CF62" s="146" t="str">
        <f t="shared" si="16"/>
        <v>No</v>
      </c>
      <c r="CG62" s="146" t="str">
        <f>_xlfn.IFNA(IF(INDEX(Producer!$P:$P,MATCH($D62,Producer!$A:$A,0))="Retirement Interest Only","Only available","No"),"")</f>
        <v>No</v>
      </c>
      <c r="CH62" s="146" t="str">
        <f t="shared" si="17"/>
        <v>No</v>
      </c>
      <c r="CI62" s="146" t="str">
        <f>_xlfn.IFNA(IF(INDEX(Producer!$P:$P,MATCH($D62,Producer!$A:$A,0))="Intermediary Holiday Let","Only available","No"),"")</f>
        <v>No</v>
      </c>
      <c r="CJ62" s="146" t="str">
        <f t="shared" si="18"/>
        <v>No</v>
      </c>
      <c r="CK62" s="146" t="str">
        <f>_xlfn.IFNA(IF(OR(INDEX(Producer!$P:$P,MATCH($D62,Producer!$A:$A,0))="Intermediary Small HMO",INDEX(Producer!$P:$P,MATCH($D62,Producer!$A:$A,0))="Intermediary Large HMO"),"Only available","No"),"")</f>
        <v>No</v>
      </c>
      <c r="CL62" s="146" t="str">
        <f t="shared" si="19"/>
        <v>No</v>
      </c>
      <c r="CM62" s="146" t="str">
        <f t="shared" si="20"/>
        <v>No</v>
      </c>
      <c r="CN62" s="146" t="str">
        <f t="shared" si="21"/>
        <v>No</v>
      </c>
      <c r="CO62" s="146" t="str">
        <f t="shared" si="22"/>
        <v>Also available</v>
      </c>
      <c r="CP62" s="146" t="str">
        <f t="shared" si="23"/>
        <v>No</v>
      </c>
      <c r="CQ62" s="146" t="str">
        <f t="shared" si="24"/>
        <v>No</v>
      </c>
      <c r="CR62" s="146" t="str">
        <f t="shared" si="25"/>
        <v>Also available</v>
      </c>
      <c r="CS62" s="146" t="str">
        <f t="shared" si="26"/>
        <v>Only available</v>
      </c>
      <c r="CT62" s="146" t="str">
        <f t="shared" si="27"/>
        <v>No</v>
      </c>
      <c r="CU62" s="146"/>
    </row>
    <row r="63" spans="1:99" ht="16.399999999999999" customHeight="1" x14ac:dyDescent="0.35">
      <c r="A63" s="145" t="str">
        <f t="shared" si="0"/>
        <v>Leeds Building Society</v>
      </c>
      <c r="B63" s="145" t="str">
        <f>_xlfn.IFNA(_xlfn.CONCAT(INDEX(Producer!$P:$P,MATCH($D63,Producer!$A:$A,0))," ",IF(INDEX(Producer!$N:$N,MATCH($D63,Producer!$A:$A,0))="Yes","Green ",""),IF(AND(INDEX(Producer!$L:$L,MATCH($D63,Producer!$A:$A,0))="No",INDEX(Producer!$C:$C,MATCH($D63,Producer!$A:$A,0))="Fixed"),"Flexit ",""),INDEX(Producer!$B:$B,MATCH($D63,Producer!$A:$A,0))," Year ",INDEX(Producer!$C:$C,MATCH($D63,Producer!$A:$A,0))," ",VALUE(INDEX(Producer!$E:$E,MATCH($D63,Producer!$A:$A,0)))*100,"% LTV",IF(INDEX(Producer!$N:$N,MATCH($D63,Producer!$A:$A,0))="Yes"," (EPC A-C)","")," - ",IF(INDEX(Producer!$D:$D,MATCH($D63,Producer!$A:$A,0))="DLY","Daily","Annual")),"")</f>
        <v>Shared Ownership 5 Year Fixed 95% LTV - Daily</v>
      </c>
      <c r="C63" s="146" t="str">
        <f>_xlfn.IFNA(INDEX(Producer!$Q:$Q,MATCH($D63,Producer!$A:$A,0)),"")</f>
        <v>Residential</v>
      </c>
      <c r="D63" s="146">
        <f>IFERROR(VALUE(MID(Producer!$R$2,IF($D62="",1/0,FIND(_xlfn.CONCAT($D61,$D62),Producer!$R$2)+10),5)),"")</f>
        <v>54303</v>
      </c>
      <c r="E63" s="146" t="str">
        <f t="shared" si="1"/>
        <v>Fixed</v>
      </c>
      <c r="F63" s="146"/>
      <c r="G63" s="147">
        <f>_xlfn.IFNA(VALUE(INDEX(Producer!$F:$F,MATCH($D63,Producer!$A:$A,0)))*100,"")</f>
        <v>5.29</v>
      </c>
      <c r="H63" s="216">
        <f>_xlfn.IFNA(IFERROR(DATEVALUE(INDEX(Producer!$M:$M,MATCH($D63,Producer!$A:$A,0))),(INDEX(Producer!$M:$M,MATCH($D63,Producer!$A:$A,0)))),"")</f>
        <v>47514</v>
      </c>
      <c r="I63" s="217">
        <f>_xlfn.IFNA(VALUE(INDEX(Producer!$B:$B,MATCH($D63,Producer!$A:$A,0)))*12,"")</f>
        <v>60</v>
      </c>
      <c r="J63" s="146" t="str">
        <f>_xlfn.IFNA(IF(C63="Residential",IF(VALUE(INDEX(Producer!$B:$B,MATCH($D63,Producer!$A:$A,0)))&lt;5,Constants!$C$10,""),IF(VALUE(INDEX(Producer!$B:$B,MATCH($D63,Producer!$A:$A,0)))&lt;5,Constants!$C$11,"")),"")</f>
        <v/>
      </c>
      <c r="K63" s="216" t="str">
        <f>_xlfn.IFNA(IF(($I63)&lt;60,DATE(YEAR(H63)+(5-VALUE(INDEX(Producer!$B:$B,MATCH($D63,Producer!$A:$A,0)))),MONTH(H63),DAY(H63)),""),"")</f>
        <v/>
      </c>
      <c r="L63" s="153" t="str">
        <f t="shared" si="2"/>
        <v/>
      </c>
      <c r="M63" s="146"/>
      <c r="N63" s="148"/>
      <c r="O63" s="148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>
        <f>IF(D63="","",IF(C63="Residential",Constants!$B$10,Constants!$B$11))</f>
        <v>8.24</v>
      </c>
      <c r="AL63" s="146" t="str">
        <f t="shared" si="3"/>
        <v>SVR</v>
      </c>
      <c r="AM63" s="206" t="str">
        <f t="shared" si="4"/>
        <v/>
      </c>
      <c r="AN63" s="146">
        <f t="shared" si="5"/>
        <v>10</v>
      </c>
      <c r="AO63" s="149" t="str">
        <f t="shared" si="6"/>
        <v>Remortgage</v>
      </c>
      <c r="AP63" s="150" t="str">
        <f t="shared" si="7"/>
        <v>ProductTransfer</v>
      </c>
      <c r="AQ63" s="146">
        <f>IFERROR(_xlfn.IFNA(IF($BA63="No",0,IF(INDEX(Constants!B:B,MATCH(($I63/12),Constants!$A:$A,0))=0,0,INDEX(Constants!B:B,MATCH(($I63/12),Constants!$A:$A,0)))),0),"")</f>
        <v>5</v>
      </c>
      <c r="AR63" s="146">
        <f>IFERROR(_xlfn.IFNA(IF($BA63="No",0,IF(INDEX(Constants!C:C,MATCH(($I63/12),Constants!$A:$A,0))=0,0,INDEX(Constants!C:C,MATCH(($I63/12),Constants!$A:$A,0)))),0),"")</f>
        <v>5</v>
      </c>
      <c r="AS63" s="146">
        <f>IFERROR(_xlfn.IFNA(IF($BA63="No",0,IF(INDEX(Constants!D:D,MATCH(($I63/12),Constants!$A:$A,0))=0,0,INDEX(Constants!D:D,MATCH(($I63/12),Constants!$A:$A,0)))),0),"")</f>
        <v>4</v>
      </c>
      <c r="AT63" s="146">
        <f>IFERROR(_xlfn.IFNA(IF($BA63="No",0,IF(INDEX(Constants!E:E,MATCH(($I63/12),Constants!$A:$A,0))=0,0,INDEX(Constants!E:E,MATCH(($I63/12),Constants!$A:$A,0)))),0),"")</f>
        <v>3</v>
      </c>
      <c r="AU63" s="146">
        <f>IFERROR(_xlfn.IFNA(IF($BA63="No",0,IF(INDEX(Constants!F:F,MATCH(($I63/12),Constants!$A:$A,0))=0,0,INDEX(Constants!F:F,MATCH(($I63/12),Constants!$A:$A,0)))),0),"")</f>
        <v>2</v>
      </c>
      <c r="AV63" s="146">
        <f>IFERROR(_xlfn.IFNA(IF($BA63="No",0,IF(INDEX(Constants!G:G,MATCH(($I63/12),Constants!$A:$A,0))=0,0,INDEX(Constants!G:G,MATCH(($I63/12),Constants!$A:$A,0)))),0),"")</f>
        <v>0</v>
      </c>
      <c r="AW63" s="146">
        <f>IFERROR(_xlfn.IFNA(IF($BA63="No",0,IF(INDEX(Constants!H:H,MATCH(($I63/12),Constants!$A:$A,0))=0,0,INDEX(Constants!H:H,MATCH(($I63/12),Constants!$A:$A,0)))),0),"")</f>
        <v>0</v>
      </c>
      <c r="AX63" s="146">
        <f>IFERROR(_xlfn.IFNA(IF($BA63="No",0,IF(INDEX(Constants!I:I,MATCH(($I63/12),Constants!$A:$A,0))=0,0,INDEX(Constants!I:I,MATCH(($I63/12),Constants!$A:$A,0)))),0),"")</f>
        <v>0</v>
      </c>
      <c r="AY63" s="146">
        <f>IFERROR(_xlfn.IFNA(IF($BA63="No",0,IF(INDEX(Constants!J:J,MATCH(($I63/12),Constants!$A:$A,0))=0,0,INDEX(Constants!J:J,MATCH(($I63/12),Constants!$A:$A,0)))),0),"")</f>
        <v>0</v>
      </c>
      <c r="AZ63" s="146">
        <f>IFERROR(_xlfn.IFNA(IF($BA63="No",0,IF(INDEX(Constants!K:K,MATCH(($I63/12),Constants!$A:$A,0))=0,0,INDEX(Constants!K:K,MATCH(($I63/12),Constants!$A:$A,0)))),0),"")</f>
        <v>0</v>
      </c>
      <c r="BA63" s="147" t="str">
        <f>_xlfn.IFNA(INDEX(Producer!$L:$L,MATCH($D63,Producer!$A:$A,0)),"")</f>
        <v>Yes</v>
      </c>
      <c r="BB63" s="146" t="str">
        <f>IFERROR(IF(AQ63=0,"",IF(($I63/12)=15,_xlfn.CONCAT(Constants!$N$7,TEXT(DATE(YEAR(H63)-(($I63/12)-3),MONTH(H63),DAY(H63)),"dd/mm/yyyy"),", ",Constants!$P$7,TEXT(DATE(YEAR(H63)-(($I63/12)-8),MONTH(H63),DAY(H63)),"dd/mm/yyyy"),", ",Constants!$T$7,TEXT(DATE(YEAR(H63)-(($I63/12)-11),MONTH(H63),DAY(H63)),"dd/mm/yyyy"),", ",Constants!$V$7,TEXT(DATE(YEAR(H63)-(($I63/12)-13),MONTH(H63),DAY(H63)),"dd/mm/yyyy"),", ",Constants!$W$7,TEXT($H63,"dd/mm/yyyy")),IF(($I63/12)=10,_xlfn.CONCAT(Constants!$N$6,TEXT(DATE(YEAR(H63)-(($I63/12)-2),MONTH(H63),DAY(H63)),"dd/mm/yyyy"),", ",Constants!$P$6,TEXT(DATE(YEAR(H63)-(($I63/12)-6),MONTH(H63),DAY(H63)),"dd/mm/yyyy"),", ",Constants!$T$6,TEXT(DATE(YEAR(H63)-(($I63/12)-8),MONTH(H63),DAY(H63)),"dd/mm/yyyy"),", ",Constants!$V$6,TEXT(DATE(YEAR(H63)-(($I63/12)-9),MONTH(H63),DAY(H63)),"dd/mm/yyyy"),", ",Constants!$W$6,TEXT($H63,"dd/mm/yyyy")),IF(($I63/12)=5,_xlfn.CONCAT(Constants!$N$5,TEXT(DATE(YEAR(H63)-(($I63/12)-1),MONTH(H63),DAY(H63)),"dd/mm/yyyy"),", ",Constants!$O$5,TEXT(DATE(YEAR(H63)-(($I63/12)-2),MONTH(H63),DAY(H63)),"dd/mm/yyyy"),", ",Constants!$P$5,TEXT(DATE(YEAR(H63)-(($I63/12)-3),MONTH(H63),DAY(H63)),"dd/mm/yyyy"),", ",Constants!$Q$5,TEXT(DATE(YEAR(H63)-(($I63/12)-4),MONTH(H63),DAY(H63)),"dd/mm/yyyy"),", ",Constants!$R$5,TEXT($H63,"dd/mm/yyyy")),IF(($I63/12)=3,_xlfn.CONCAT(Constants!$N$4,TEXT(DATE(YEAR(H63)-(($I63/12)-1),MONTH(H63),DAY(H63)),"dd/mm/yyyy"),", ",Constants!$O$4,TEXT(DATE(YEAR(H63)-(($I63/12)-2),MONTH(H63),DAY(H63)),"dd/mm/yyyy"),", ",Constants!$P$4,TEXT($H63,"dd/mm/yyyy")),IF(($I63/12)=2,_xlfn.CONCAT(Constants!$N$3,TEXT(DATE(YEAR(H63)-(($I63/12)-1),MONTH(H63),DAY(H63)),"dd/mm/yyyy"),", ",Constants!$O$3,TEXT($H63,"dd/mm/yyyy")),IF(($I63/12)=1,_xlfn.CONCAT(Constants!$N$2,TEXT($H63,"dd/mm/yyyy")),"Update Constants"))))))),"")</f>
        <v>5% to 31/01/2026, 5% to 31/01/2027, 4% to 31/01/2028, 3% to 31/01/2029, 2% to 31/01/2030</v>
      </c>
      <c r="BC63" s="147">
        <f>_xlfn.IFNA(VALUE(INDEX(Producer!$K:$K,MATCH($D63,Producer!$A:$A,0))),"")</f>
        <v>0</v>
      </c>
      <c r="BD63" s="147" t="str">
        <f>_xlfn.IFNA(INDEX(Producer!$I:$I,MATCH($D63,Producer!$A:$A,0)),"")</f>
        <v>No</v>
      </c>
      <c r="BE63" s="147" t="str">
        <f t="shared" si="8"/>
        <v>Yes</v>
      </c>
      <c r="BF63" s="147"/>
      <c r="BG63" s="147"/>
      <c r="BH63" s="151">
        <f>_xlfn.IFNA(INDEX(Constants!$B:$B,MATCH(BC63,Constants!A:A,0)),"")</f>
        <v>0</v>
      </c>
      <c r="BI63" s="147">
        <f>IF(LEFT(B63,15)="Limited Company",Constants!$D$16,IFERROR(_xlfn.IFNA(IF(C63="Residential",IF(BK63&lt;75,INDEX(Constants!$B:$B,MATCH(VALUE(60)/100,Constants!$A:$A,0)),INDEX(Constants!$B:$B,MATCH(VALUE(BK63)/100,Constants!$A:$A,0))),IF(BK63&lt;60,INDEX(Constants!$C:$C,MATCH(VALUE(60)/100,Constants!$A:$A,0)),INDEX(Constants!$C:$C,MATCH(VALUE(BK63)/100,Constants!$A:$A,0)))),""),""))</f>
        <v>2000000</v>
      </c>
      <c r="BJ63" s="147">
        <f t="shared" si="9"/>
        <v>0</v>
      </c>
      <c r="BK63" s="147">
        <f>_xlfn.IFNA(VALUE(INDEX(Producer!$E:$E,MATCH($D63,Producer!$A:$A,0)))*100,"")</f>
        <v>95</v>
      </c>
      <c r="BL63" s="146" t="str">
        <f>_xlfn.IFNA(IF(IFERROR(FIND("Part &amp; Part",B63),-10)&gt;0,"PP",IF(OR(LEFT(B63,25)="Residential Interest Only",INDEX(Producer!$P:$P,MATCH($D63,Producer!$A:$A,0))="IO",INDEX(Producer!$P:$P,MATCH($D63,Producer!$A:$A,0))="Retirement Interest Only"),"IO",IF($C63="BuyToLet","CI, IO","CI"))),"")</f>
        <v>CI</v>
      </c>
      <c r="BM63" s="152" t="str">
        <f>_xlfn.IFNA(IF(BL63="IO",100%,IF(AND(INDEX(Producer!$P:$P,MATCH($D63,Producer!$A:$A,0))="Residential Interest Only Part &amp; Part",BK63=75),80%,IF(C63="BuyToLet",100%,IF(BL63="Interest Only",100%,IF(AND(INDEX(Producer!$P:$P,MATCH($D63,Producer!$A:$A,0))="Residential Interest Only Part &amp; Part",BK63=60),100%,""))))),"")</f>
        <v/>
      </c>
      <c r="BN63" s="218" t="str">
        <f>_xlfn.IFNA(IF(VALUE(INDEX(Producer!$H:$H,MATCH($D63,Producer!$A:$A,0)))=0,"",VALUE(INDEX(Producer!$H:$H,MATCH($D63,Producer!$A:$A,0)))),"")</f>
        <v/>
      </c>
      <c r="BO63" s="153"/>
      <c r="BP63" s="153"/>
      <c r="BQ63" s="219">
        <f t="shared" si="10"/>
        <v>35</v>
      </c>
      <c r="BR63" s="146"/>
      <c r="BS63" s="146"/>
      <c r="BT63" s="146"/>
      <c r="BU63" s="146"/>
      <c r="BV63" s="219">
        <f t="shared" si="11"/>
        <v>199</v>
      </c>
      <c r="BW63" s="146"/>
      <c r="BX63" s="146"/>
      <c r="BY63" s="146" t="str">
        <f t="shared" si="12"/>
        <v>No</v>
      </c>
      <c r="BZ63" s="146" t="str">
        <f t="shared" si="13"/>
        <v>No</v>
      </c>
      <c r="CA63" s="146" t="str">
        <f t="shared" si="14"/>
        <v>No</v>
      </c>
      <c r="CB63" s="146" t="str">
        <f t="shared" si="15"/>
        <v>No</v>
      </c>
      <c r="CC63" s="146" t="str">
        <f>_xlfn.IFNA(IF(INDEX(Producer!$P:$P,MATCH($D63,Producer!$A:$A,0))="Help to Buy","Only available","No"),"")</f>
        <v>No</v>
      </c>
      <c r="CD63" s="146" t="str">
        <f>_xlfn.IFNA(IF(INDEX(Producer!$P:$P,MATCH($D63,Producer!$A:$A,0))="Shared Ownership","Only available","No"),"")</f>
        <v>Only available</v>
      </c>
      <c r="CE63" s="146" t="str">
        <f>_xlfn.IFNA(IF(INDEX(Producer!$P:$P,MATCH($D63,Producer!$A:$A,0))="Right to Buy","Only available","No"),"")</f>
        <v>No</v>
      </c>
      <c r="CF63" s="146" t="str">
        <f t="shared" si="16"/>
        <v>No</v>
      </c>
      <c r="CG63" s="146" t="str">
        <f>_xlfn.IFNA(IF(INDEX(Producer!$P:$P,MATCH($D63,Producer!$A:$A,0))="Retirement Interest Only","Only available","No"),"")</f>
        <v>No</v>
      </c>
      <c r="CH63" s="146" t="str">
        <f t="shared" si="17"/>
        <v>No</v>
      </c>
      <c r="CI63" s="146" t="str">
        <f>_xlfn.IFNA(IF(INDEX(Producer!$P:$P,MATCH($D63,Producer!$A:$A,0))="Intermediary Holiday Let","Only available","No"),"")</f>
        <v>No</v>
      </c>
      <c r="CJ63" s="146" t="str">
        <f t="shared" si="18"/>
        <v>No</v>
      </c>
      <c r="CK63" s="146" t="str">
        <f>_xlfn.IFNA(IF(OR(INDEX(Producer!$P:$P,MATCH($D63,Producer!$A:$A,0))="Intermediary Small HMO",INDEX(Producer!$P:$P,MATCH($D63,Producer!$A:$A,0))="Intermediary Large HMO"),"Only available","No"),"")</f>
        <v>No</v>
      </c>
      <c r="CL63" s="146" t="str">
        <f t="shared" si="19"/>
        <v>No</v>
      </c>
      <c r="CM63" s="146" t="str">
        <f t="shared" si="20"/>
        <v>No</v>
      </c>
      <c r="CN63" s="146" t="str">
        <f t="shared" si="21"/>
        <v>No</v>
      </c>
      <c r="CO63" s="146" t="str">
        <f t="shared" si="22"/>
        <v>No</v>
      </c>
      <c r="CP63" s="146" t="str">
        <f t="shared" si="23"/>
        <v>No</v>
      </c>
      <c r="CQ63" s="146" t="str">
        <f t="shared" si="24"/>
        <v>No</v>
      </c>
      <c r="CR63" s="146" t="str">
        <f t="shared" si="25"/>
        <v>Also available</v>
      </c>
      <c r="CS63" s="146" t="str">
        <f t="shared" si="26"/>
        <v>Only available</v>
      </c>
      <c r="CT63" s="146" t="str">
        <f t="shared" si="27"/>
        <v>No</v>
      </c>
      <c r="CU63" s="146"/>
    </row>
    <row r="64" spans="1:99" ht="16.399999999999999" customHeight="1" x14ac:dyDescent="0.35">
      <c r="A64" s="145" t="str">
        <f t="shared" si="0"/>
        <v>Leeds Building Society</v>
      </c>
      <c r="B64" s="145" t="str">
        <f>_xlfn.IFNA(_xlfn.CONCAT(INDEX(Producer!$P:$P,MATCH($D64,Producer!$A:$A,0))," ",IF(INDEX(Producer!$N:$N,MATCH($D64,Producer!$A:$A,0))="Yes","Green ",""),IF(AND(INDEX(Producer!$L:$L,MATCH($D64,Producer!$A:$A,0))="No",INDEX(Producer!$C:$C,MATCH($D64,Producer!$A:$A,0))="Fixed"),"Flexit ",""),INDEX(Producer!$B:$B,MATCH($D64,Producer!$A:$A,0))," Year ",INDEX(Producer!$C:$C,MATCH($D64,Producer!$A:$A,0))," ",VALUE(INDEX(Producer!$E:$E,MATCH($D64,Producer!$A:$A,0)))*100,"% LTV",IF(INDEX(Producer!$N:$N,MATCH($D64,Producer!$A:$A,0))="Yes"," (EPC A-C)","")," - ",IF(INDEX(Producer!$D:$D,MATCH($D64,Producer!$A:$A,0))="DLY","Daily","Annual")),"")</f>
        <v>Shared Equity 2 Year Fixed 75% LTV - Daily</v>
      </c>
      <c r="C64" s="146" t="str">
        <f>_xlfn.IFNA(INDEX(Producer!$Q:$Q,MATCH($D64,Producer!$A:$A,0)),"")</f>
        <v>Residential</v>
      </c>
      <c r="D64" s="146">
        <f>IFERROR(VALUE(MID(Producer!$R$2,IF($D63="",1/0,FIND(_xlfn.CONCAT($D62,$D63),Producer!$R$2)+10),5)),"")</f>
        <v>54311</v>
      </c>
      <c r="E64" s="146" t="str">
        <f t="shared" si="1"/>
        <v>Stepped Fixed</v>
      </c>
      <c r="F64" s="146"/>
      <c r="G64" s="147">
        <f>_xlfn.IFNA(VALUE(INDEX(Producer!$F:$F,MATCH($D64,Producer!$A:$A,0)))*100,"")</f>
        <v>5.4399999999999995</v>
      </c>
      <c r="H64" s="216">
        <f>_xlfn.IFNA(IFERROR(DATEVALUE(INDEX(Producer!$M:$M,MATCH($D64,Producer!$A:$A,0))),(INDEX(Producer!$M:$M,MATCH($D64,Producer!$A:$A,0)))),"")</f>
        <v>46418</v>
      </c>
      <c r="I64" s="217">
        <f>_xlfn.IFNA(VALUE(INDEX(Producer!$B:$B,MATCH($D64,Producer!$A:$A,0)))*12,"")</f>
        <v>24</v>
      </c>
      <c r="J64" s="146">
        <f>_xlfn.IFNA(IF(C64="Residential",IF(VALUE(INDEX(Producer!$B:$B,MATCH($D64,Producer!$A:$A,0)))&lt;5,Constants!$C$10,""),IF(VALUE(INDEX(Producer!$B:$B,MATCH($D64,Producer!$A:$A,0)))&lt;5,Constants!$C$11,"")),"")</f>
        <v>7.49</v>
      </c>
      <c r="K64" s="216">
        <f>_xlfn.IFNA(IF(($I64)&lt;60,DATE(YEAR(H64)+(5-VALUE(INDEX(Producer!$B:$B,MATCH($D64,Producer!$A:$A,0)))),MONTH(H64),DAY(H64)),""),"")</f>
        <v>47514</v>
      </c>
      <c r="L64" s="153">
        <f t="shared" si="2"/>
        <v>36</v>
      </c>
      <c r="M64" s="146"/>
      <c r="N64" s="148"/>
      <c r="O64" s="148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>
        <f>IF(D64="","",IF(C64="Residential",Constants!$B$10,Constants!$B$11))</f>
        <v>8.24</v>
      </c>
      <c r="AL64" s="146" t="str">
        <f t="shared" si="3"/>
        <v>SVR</v>
      </c>
      <c r="AM64" s="206" t="str">
        <f t="shared" si="4"/>
        <v/>
      </c>
      <c r="AN64" s="146">
        <f t="shared" si="5"/>
        <v>10</v>
      </c>
      <c r="AO64" s="149" t="str">
        <f t="shared" si="6"/>
        <v>Remortgage</v>
      </c>
      <c r="AP64" s="150" t="str">
        <f t="shared" si="7"/>
        <v>ProductTransfer</v>
      </c>
      <c r="AQ64" s="146">
        <f>IFERROR(_xlfn.IFNA(IF($BA64="No",0,IF(INDEX(Constants!B:B,MATCH(($I64/12),Constants!$A:$A,0))=0,0,INDEX(Constants!B:B,MATCH(($I64/12),Constants!$A:$A,0)))),0),"")</f>
        <v>2.5</v>
      </c>
      <c r="AR64" s="146">
        <f>IFERROR(_xlfn.IFNA(IF($BA64="No",0,IF(INDEX(Constants!C:C,MATCH(($I64/12),Constants!$A:$A,0))=0,0,INDEX(Constants!C:C,MATCH(($I64/12),Constants!$A:$A,0)))),0),"")</f>
        <v>1.5</v>
      </c>
      <c r="AS64" s="146">
        <f>IFERROR(_xlfn.IFNA(IF($BA64="No",0,IF(INDEX(Constants!D:D,MATCH(($I64/12),Constants!$A:$A,0))=0,0,INDEX(Constants!D:D,MATCH(($I64/12),Constants!$A:$A,0)))),0),"")</f>
        <v>0</v>
      </c>
      <c r="AT64" s="146">
        <f>IFERROR(_xlfn.IFNA(IF($BA64="No",0,IF(INDEX(Constants!E:E,MATCH(($I64/12),Constants!$A:$A,0))=0,0,INDEX(Constants!E:E,MATCH(($I64/12),Constants!$A:$A,0)))),0),"")</f>
        <v>0</v>
      </c>
      <c r="AU64" s="146">
        <f>IFERROR(_xlfn.IFNA(IF($BA64="No",0,IF(INDEX(Constants!F:F,MATCH(($I64/12),Constants!$A:$A,0))=0,0,INDEX(Constants!F:F,MATCH(($I64/12),Constants!$A:$A,0)))),0),"")</f>
        <v>0</v>
      </c>
      <c r="AV64" s="146">
        <f>IFERROR(_xlfn.IFNA(IF($BA64="No",0,IF(INDEX(Constants!G:G,MATCH(($I64/12),Constants!$A:$A,0))=0,0,INDEX(Constants!G:G,MATCH(($I64/12),Constants!$A:$A,0)))),0),"")</f>
        <v>0</v>
      </c>
      <c r="AW64" s="146">
        <f>IFERROR(_xlfn.IFNA(IF($BA64="No",0,IF(INDEX(Constants!H:H,MATCH(($I64/12),Constants!$A:$A,0))=0,0,INDEX(Constants!H:H,MATCH(($I64/12),Constants!$A:$A,0)))),0),"")</f>
        <v>0</v>
      </c>
      <c r="AX64" s="146">
        <f>IFERROR(_xlfn.IFNA(IF($BA64="No",0,IF(INDEX(Constants!I:I,MATCH(($I64/12),Constants!$A:$A,0))=0,0,INDEX(Constants!I:I,MATCH(($I64/12),Constants!$A:$A,0)))),0),"")</f>
        <v>0</v>
      </c>
      <c r="AY64" s="146">
        <f>IFERROR(_xlfn.IFNA(IF($BA64="No",0,IF(INDEX(Constants!J:J,MATCH(($I64/12),Constants!$A:$A,0))=0,0,INDEX(Constants!J:J,MATCH(($I64/12),Constants!$A:$A,0)))),0),"")</f>
        <v>0</v>
      </c>
      <c r="AZ64" s="146">
        <f>IFERROR(_xlfn.IFNA(IF($BA64="No",0,IF(INDEX(Constants!K:K,MATCH(($I64/12),Constants!$A:$A,0))=0,0,INDEX(Constants!K:K,MATCH(($I64/12),Constants!$A:$A,0)))),0),"")</f>
        <v>0</v>
      </c>
      <c r="BA64" s="147" t="str">
        <f>_xlfn.IFNA(INDEX(Producer!$L:$L,MATCH($D64,Producer!$A:$A,0)),"")</f>
        <v>Yes</v>
      </c>
      <c r="BB64" s="146" t="str">
        <f>IFERROR(IF(AQ64=0,"",IF(($I64/12)=15,_xlfn.CONCAT(Constants!$N$7,TEXT(DATE(YEAR(H64)-(($I64/12)-3),MONTH(H64),DAY(H64)),"dd/mm/yyyy"),", ",Constants!$P$7,TEXT(DATE(YEAR(H64)-(($I64/12)-8),MONTH(H64),DAY(H64)),"dd/mm/yyyy"),", ",Constants!$T$7,TEXT(DATE(YEAR(H64)-(($I64/12)-11),MONTH(H64),DAY(H64)),"dd/mm/yyyy"),", ",Constants!$V$7,TEXT(DATE(YEAR(H64)-(($I64/12)-13),MONTH(H64),DAY(H64)),"dd/mm/yyyy"),", ",Constants!$W$7,TEXT($H64,"dd/mm/yyyy")),IF(($I64/12)=10,_xlfn.CONCAT(Constants!$N$6,TEXT(DATE(YEAR(H64)-(($I64/12)-2),MONTH(H64),DAY(H64)),"dd/mm/yyyy"),", ",Constants!$P$6,TEXT(DATE(YEAR(H64)-(($I64/12)-6),MONTH(H64),DAY(H64)),"dd/mm/yyyy"),", ",Constants!$T$6,TEXT(DATE(YEAR(H64)-(($I64/12)-8),MONTH(H64),DAY(H64)),"dd/mm/yyyy"),", ",Constants!$V$6,TEXT(DATE(YEAR(H64)-(($I64/12)-9),MONTH(H64),DAY(H64)),"dd/mm/yyyy"),", ",Constants!$W$6,TEXT($H64,"dd/mm/yyyy")),IF(($I64/12)=5,_xlfn.CONCAT(Constants!$N$5,TEXT(DATE(YEAR(H64)-(($I64/12)-1),MONTH(H64),DAY(H64)),"dd/mm/yyyy"),", ",Constants!$O$5,TEXT(DATE(YEAR(H64)-(($I64/12)-2),MONTH(H64),DAY(H64)),"dd/mm/yyyy"),", ",Constants!$P$5,TEXT(DATE(YEAR(H64)-(($I64/12)-3),MONTH(H64),DAY(H64)),"dd/mm/yyyy"),", ",Constants!$Q$5,TEXT(DATE(YEAR(H64)-(($I64/12)-4),MONTH(H64),DAY(H64)),"dd/mm/yyyy"),", ",Constants!$R$5,TEXT($H64,"dd/mm/yyyy")),IF(($I64/12)=3,_xlfn.CONCAT(Constants!$N$4,TEXT(DATE(YEAR(H64)-(($I64/12)-1),MONTH(H64),DAY(H64)),"dd/mm/yyyy"),", ",Constants!$O$4,TEXT(DATE(YEAR(H64)-(($I64/12)-2),MONTH(H64),DAY(H64)),"dd/mm/yyyy"),", ",Constants!$P$4,TEXT($H64,"dd/mm/yyyy")),IF(($I64/12)=2,_xlfn.CONCAT(Constants!$N$3,TEXT(DATE(YEAR(H64)-(($I64/12)-1),MONTH(H64),DAY(H64)),"dd/mm/yyyy"),", ",Constants!$O$3,TEXT($H64,"dd/mm/yyyy")),IF(($I64/12)=1,_xlfn.CONCAT(Constants!$N$2,TEXT($H64,"dd/mm/yyyy")),"Update Constants"))))))),"")</f>
        <v>2.5% to 31/01/2026, 1.5% to 31/01/2027</v>
      </c>
      <c r="BC64" s="147">
        <f>_xlfn.IFNA(VALUE(INDEX(Producer!$K:$K,MATCH($D64,Producer!$A:$A,0))),"")</f>
        <v>0</v>
      </c>
      <c r="BD64" s="147" t="str">
        <f>_xlfn.IFNA(INDEX(Producer!$I:$I,MATCH($D64,Producer!$A:$A,0)),"")</f>
        <v>No</v>
      </c>
      <c r="BE64" s="147" t="str">
        <f t="shared" si="8"/>
        <v>Yes</v>
      </c>
      <c r="BF64" s="147"/>
      <c r="BG64" s="147"/>
      <c r="BH64" s="151">
        <f>_xlfn.IFNA(INDEX(Constants!$B:$B,MATCH(BC64,Constants!A:A,0)),"")</f>
        <v>0</v>
      </c>
      <c r="BI64" s="147">
        <f>IF(LEFT(B64,15)="Limited Company",Constants!$D$16,IFERROR(_xlfn.IFNA(IF(C64="Residential",IF(BK64&lt;75,INDEX(Constants!$B:$B,MATCH(VALUE(60)/100,Constants!$A:$A,0)),INDEX(Constants!$B:$B,MATCH(VALUE(BK64)/100,Constants!$A:$A,0))),IF(BK64&lt;60,INDEX(Constants!$C:$C,MATCH(VALUE(60)/100,Constants!$A:$A,0)),INDEX(Constants!$C:$C,MATCH(VALUE(BK64)/100,Constants!$A:$A,0)))),""),""))</f>
        <v>2000000</v>
      </c>
      <c r="BJ64" s="147">
        <f t="shared" si="9"/>
        <v>0</v>
      </c>
      <c r="BK64" s="147">
        <f>_xlfn.IFNA(VALUE(INDEX(Producer!$E:$E,MATCH($D64,Producer!$A:$A,0)))*100,"")</f>
        <v>75</v>
      </c>
      <c r="BL64" s="146" t="str">
        <f>_xlfn.IFNA(IF(IFERROR(FIND("Part &amp; Part",B64),-10)&gt;0,"PP",IF(OR(LEFT(B64,25)="Residential Interest Only",INDEX(Producer!$P:$P,MATCH($D64,Producer!$A:$A,0))="IO",INDEX(Producer!$P:$P,MATCH($D64,Producer!$A:$A,0))="Retirement Interest Only"),"IO",IF($C64="BuyToLet","CI, IO","CI"))),"")</f>
        <v>CI</v>
      </c>
      <c r="BM64" s="152" t="str">
        <f>_xlfn.IFNA(IF(BL64="IO",100%,IF(AND(INDEX(Producer!$P:$P,MATCH($D64,Producer!$A:$A,0))="Residential Interest Only Part &amp; Part",BK64=75),80%,IF(C64="BuyToLet",100%,IF(BL64="Interest Only",100%,IF(AND(INDEX(Producer!$P:$P,MATCH($D64,Producer!$A:$A,0))="Residential Interest Only Part &amp; Part",BK64=60),100%,""))))),"")</f>
        <v/>
      </c>
      <c r="BN64" s="218" t="str">
        <f>_xlfn.IFNA(IF(VALUE(INDEX(Producer!$H:$H,MATCH($D64,Producer!$A:$A,0)))=0,"",VALUE(INDEX(Producer!$H:$H,MATCH($D64,Producer!$A:$A,0)))),"")</f>
        <v/>
      </c>
      <c r="BO64" s="153"/>
      <c r="BP64" s="153"/>
      <c r="BQ64" s="219">
        <f t="shared" si="10"/>
        <v>35</v>
      </c>
      <c r="BR64" s="146"/>
      <c r="BS64" s="146"/>
      <c r="BT64" s="146"/>
      <c r="BU64" s="146"/>
      <c r="BV64" s="219">
        <f t="shared" si="11"/>
        <v>199</v>
      </c>
      <c r="BW64" s="146"/>
      <c r="BX64" s="146"/>
      <c r="BY64" s="146" t="str">
        <f t="shared" si="12"/>
        <v>No</v>
      </c>
      <c r="BZ64" s="146" t="str">
        <f t="shared" si="13"/>
        <v>No</v>
      </c>
      <c r="CA64" s="146" t="str">
        <f t="shared" si="14"/>
        <v>No</v>
      </c>
      <c r="CB64" s="146" t="str">
        <f t="shared" si="15"/>
        <v>No</v>
      </c>
      <c r="CC64" s="146" t="str">
        <f>_xlfn.IFNA(IF(INDEX(Producer!$P:$P,MATCH($D64,Producer!$A:$A,0))="Help to Buy","Only available","No"),"")</f>
        <v>No</v>
      </c>
      <c r="CD64" s="146" t="str">
        <f>_xlfn.IFNA(IF(INDEX(Producer!$P:$P,MATCH($D64,Producer!$A:$A,0))="Shared Ownership","Only available","No"),"")</f>
        <v>No</v>
      </c>
      <c r="CE64" s="146" t="str">
        <f>_xlfn.IFNA(IF(INDEX(Producer!$P:$P,MATCH($D64,Producer!$A:$A,0))="Right to Buy","Only available","No"),"")</f>
        <v>No</v>
      </c>
      <c r="CF64" s="146" t="str">
        <f t="shared" si="16"/>
        <v>No</v>
      </c>
      <c r="CG64" s="146" t="str">
        <f>_xlfn.IFNA(IF(INDEX(Producer!$P:$P,MATCH($D64,Producer!$A:$A,0))="Retirement Interest Only","Only available","No"),"")</f>
        <v>No</v>
      </c>
      <c r="CH64" s="146" t="str">
        <f t="shared" si="17"/>
        <v>No</v>
      </c>
      <c r="CI64" s="146" t="str">
        <f>_xlfn.IFNA(IF(INDEX(Producer!$P:$P,MATCH($D64,Producer!$A:$A,0))="Intermediary Holiday Let","Only available","No"),"")</f>
        <v>No</v>
      </c>
      <c r="CJ64" s="146" t="str">
        <f t="shared" si="18"/>
        <v>No</v>
      </c>
      <c r="CK64" s="146" t="str">
        <f>_xlfn.IFNA(IF(OR(INDEX(Producer!$P:$P,MATCH($D64,Producer!$A:$A,0))="Intermediary Small HMO",INDEX(Producer!$P:$P,MATCH($D64,Producer!$A:$A,0))="Intermediary Large HMO"),"Only available","No"),"")</f>
        <v>No</v>
      </c>
      <c r="CL64" s="146" t="str">
        <f t="shared" si="19"/>
        <v>No</v>
      </c>
      <c r="CM64" s="146" t="str">
        <f t="shared" si="20"/>
        <v>No</v>
      </c>
      <c r="CN64" s="146" t="str">
        <f t="shared" si="21"/>
        <v>No</v>
      </c>
      <c r="CO64" s="146" t="str">
        <f t="shared" si="22"/>
        <v>Also available</v>
      </c>
      <c r="CP64" s="146" t="str">
        <f t="shared" si="23"/>
        <v>Only available</v>
      </c>
      <c r="CQ64" s="146" t="str">
        <f t="shared" si="24"/>
        <v>No</v>
      </c>
      <c r="CR64" s="146" t="str">
        <f t="shared" si="25"/>
        <v>Also available</v>
      </c>
      <c r="CS64" s="146" t="str">
        <f t="shared" si="26"/>
        <v>Only available</v>
      </c>
      <c r="CT64" s="146" t="str">
        <f t="shared" si="27"/>
        <v>No</v>
      </c>
      <c r="CU64" s="146"/>
    </row>
    <row r="65" spans="1:99" ht="16.399999999999999" customHeight="1" x14ac:dyDescent="0.35">
      <c r="A65" s="145" t="str">
        <f t="shared" si="0"/>
        <v>Leeds Building Society</v>
      </c>
      <c r="B65" s="145" t="str">
        <f>_xlfn.IFNA(_xlfn.CONCAT(INDEX(Producer!$P:$P,MATCH($D65,Producer!$A:$A,0))," ",IF(INDEX(Producer!$N:$N,MATCH($D65,Producer!$A:$A,0))="Yes","Green ",""),IF(AND(INDEX(Producer!$L:$L,MATCH($D65,Producer!$A:$A,0))="No",INDEX(Producer!$C:$C,MATCH($D65,Producer!$A:$A,0))="Fixed"),"Flexit ",""),INDEX(Producer!$B:$B,MATCH($D65,Producer!$A:$A,0))," Year ",INDEX(Producer!$C:$C,MATCH($D65,Producer!$A:$A,0))," ",VALUE(INDEX(Producer!$E:$E,MATCH($D65,Producer!$A:$A,0)))*100,"% LTV",IF(INDEX(Producer!$N:$N,MATCH($D65,Producer!$A:$A,0))="Yes"," (EPC A-C)","")," - ",IF(INDEX(Producer!$D:$D,MATCH($D65,Producer!$A:$A,0))="DLY","Daily","Annual")),"")</f>
        <v>Shared Equity 2 Year Fixed 85% LTV - Daily</v>
      </c>
      <c r="C65" s="146" t="str">
        <f>_xlfn.IFNA(INDEX(Producer!$Q:$Q,MATCH($D65,Producer!$A:$A,0)),"")</f>
        <v>Residential</v>
      </c>
      <c r="D65" s="146">
        <f>IFERROR(VALUE(MID(Producer!$R$2,IF($D64="",1/0,FIND(_xlfn.CONCAT($D63,$D64),Producer!$R$2)+10),5)),"")</f>
        <v>54310</v>
      </c>
      <c r="E65" s="146" t="str">
        <f t="shared" si="1"/>
        <v>Stepped Fixed</v>
      </c>
      <c r="F65" s="146"/>
      <c r="G65" s="147">
        <f>_xlfn.IFNA(VALUE(INDEX(Producer!$F:$F,MATCH($D65,Producer!$A:$A,0)))*100,"")</f>
        <v>5.54</v>
      </c>
      <c r="H65" s="216">
        <f>_xlfn.IFNA(IFERROR(DATEVALUE(INDEX(Producer!$M:$M,MATCH($D65,Producer!$A:$A,0))),(INDEX(Producer!$M:$M,MATCH($D65,Producer!$A:$A,0)))),"")</f>
        <v>46418</v>
      </c>
      <c r="I65" s="217">
        <f>_xlfn.IFNA(VALUE(INDEX(Producer!$B:$B,MATCH($D65,Producer!$A:$A,0)))*12,"")</f>
        <v>24</v>
      </c>
      <c r="J65" s="146">
        <f>_xlfn.IFNA(IF(C65="Residential",IF(VALUE(INDEX(Producer!$B:$B,MATCH($D65,Producer!$A:$A,0)))&lt;5,Constants!$C$10,""),IF(VALUE(INDEX(Producer!$B:$B,MATCH($D65,Producer!$A:$A,0)))&lt;5,Constants!$C$11,"")),"")</f>
        <v>7.49</v>
      </c>
      <c r="K65" s="216">
        <f>_xlfn.IFNA(IF(($I65)&lt;60,DATE(YEAR(H65)+(5-VALUE(INDEX(Producer!$B:$B,MATCH($D65,Producer!$A:$A,0)))),MONTH(H65),DAY(H65)),""),"")</f>
        <v>47514</v>
      </c>
      <c r="L65" s="153">
        <f t="shared" si="2"/>
        <v>36</v>
      </c>
      <c r="M65" s="146"/>
      <c r="N65" s="148"/>
      <c r="O65" s="148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>
        <f>IF(D65="","",IF(C65="Residential",Constants!$B$10,Constants!$B$11))</f>
        <v>8.24</v>
      </c>
      <c r="AL65" s="146" t="str">
        <f t="shared" si="3"/>
        <v>SVR</v>
      </c>
      <c r="AM65" s="206" t="str">
        <f t="shared" si="4"/>
        <v/>
      </c>
      <c r="AN65" s="146">
        <f t="shared" si="5"/>
        <v>10</v>
      </c>
      <c r="AO65" s="149" t="str">
        <f t="shared" si="6"/>
        <v>Remortgage</v>
      </c>
      <c r="AP65" s="150" t="str">
        <f t="shared" si="7"/>
        <v>ProductTransfer</v>
      </c>
      <c r="AQ65" s="146">
        <f>IFERROR(_xlfn.IFNA(IF($BA65="No",0,IF(INDEX(Constants!B:B,MATCH(($I65/12),Constants!$A:$A,0))=0,0,INDEX(Constants!B:B,MATCH(($I65/12),Constants!$A:$A,0)))),0),"")</f>
        <v>2.5</v>
      </c>
      <c r="AR65" s="146">
        <f>IFERROR(_xlfn.IFNA(IF($BA65="No",0,IF(INDEX(Constants!C:C,MATCH(($I65/12),Constants!$A:$A,0))=0,0,INDEX(Constants!C:C,MATCH(($I65/12),Constants!$A:$A,0)))),0),"")</f>
        <v>1.5</v>
      </c>
      <c r="AS65" s="146">
        <f>IFERROR(_xlfn.IFNA(IF($BA65="No",0,IF(INDEX(Constants!D:D,MATCH(($I65/12),Constants!$A:$A,0))=0,0,INDEX(Constants!D:D,MATCH(($I65/12),Constants!$A:$A,0)))),0),"")</f>
        <v>0</v>
      </c>
      <c r="AT65" s="146">
        <f>IFERROR(_xlfn.IFNA(IF($BA65="No",0,IF(INDEX(Constants!E:E,MATCH(($I65/12),Constants!$A:$A,0))=0,0,INDEX(Constants!E:E,MATCH(($I65/12),Constants!$A:$A,0)))),0),"")</f>
        <v>0</v>
      </c>
      <c r="AU65" s="146">
        <f>IFERROR(_xlfn.IFNA(IF($BA65="No",0,IF(INDEX(Constants!F:F,MATCH(($I65/12),Constants!$A:$A,0))=0,0,INDEX(Constants!F:F,MATCH(($I65/12),Constants!$A:$A,0)))),0),"")</f>
        <v>0</v>
      </c>
      <c r="AV65" s="146">
        <f>IFERROR(_xlfn.IFNA(IF($BA65="No",0,IF(INDEX(Constants!G:G,MATCH(($I65/12),Constants!$A:$A,0))=0,0,INDEX(Constants!G:G,MATCH(($I65/12),Constants!$A:$A,0)))),0),"")</f>
        <v>0</v>
      </c>
      <c r="AW65" s="146">
        <f>IFERROR(_xlfn.IFNA(IF($BA65="No",0,IF(INDEX(Constants!H:H,MATCH(($I65/12),Constants!$A:$A,0))=0,0,INDEX(Constants!H:H,MATCH(($I65/12),Constants!$A:$A,0)))),0),"")</f>
        <v>0</v>
      </c>
      <c r="AX65" s="146">
        <f>IFERROR(_xlfn.IFNA(IF($BA65="No",0,IF(INDEX(Constants!I:I,MATCH(($I65/12),Constants!$A:$A,0))=0,0,INDEX(Constants!I:I,MATCH(($I65/12),Constants!$A:$A,0)))),0),"")</f>
        <v>0</v>
      </c>
      <c r="AY65" s="146">
        <f>IFERROR(_xlfn.IFNA(IF($BA65="No",0,IF(INDEX(Constants!J:J,MATCH(($I65/12),Constants!$A:$A,0))=0,0,INDEX(Constants!J:J,MATCH(($I65/12),Constants!$A:$A,0)))),0),"")</f>
        <v>0</v>
      </c>
      <c r="AZ65" s="146">
        <f>IFERROR(_xlfn.IFNA(IF($BA65="No",0,IF(INDEX(Constants!K:K,MATCH(($I65/12),Constants!$A:$A,0))=0,0,INDEX(Constants!K:K,MATCH(($I65/12),Constants!$A:$A,0)))),0),"")</f>
        <v>0</v>
      </c>
      <c r="BA65" s="147" t="str">
        <f>_xlfn.IFNA(INDEX(Producer!$L:$L,MATCH($D65,Producer!$A:$A,0)),"")</f>
        <v>Yes</v>
      </c>
      <c r="BB65" s="146" t="str">
        <f>IFERROR(IF(AQ65=0,"",IF(($I65/12)=15,_xlfn.CONCAT(Constants!$N$7,TEXT(DATE(YEAR(H65)-(($I65/12)-3),MONTH(H65),DAY(H65)),"dd/mm/yyyy"),", ",Constants!$P$7,TEXT(DATE(YEAR(H65)-(($I65/12)-8),MONTH(H65),DAY(H65)),"dd/mm/yyyy"),", ",Constants!$T$7,TEXT(DATE(YEAR(H65)-(($I65/12)-11),MONTH(H65),DAY(H65)),"dd/mm/yyyy"),", ",Constants!$V$7,TEXT(DATE(YEAR(H65)-(($I65/12)-13),MONTH(H65),DAY(H65)),"dd/mm/yyyy"),", ",Constants!$W$7,TEXT($H65,"dd/mm/yyyy")),IF(($I65/12)=10,_xlfn.CONCAT(Constants!$N$6,TEXT(DATE(YEAR(H65)-(($I65/12)-2),MONTH(H65),DAY(H65)),"dd/mm/yyyy"),", ",Constants!$P$6,TEXT(DATE(YEAR(H65)-(($I65/12)-6),MONTH(H65),DAY(H65)),"dd/mm/yyyy"),", ",Constants!$T$6,TEXT(DATE(YEAR(H65)-(($I65/12)-8),MONTH(H65),DAY(H65)),"dd/mm/yyyy"),", ",Constants!$V$6,TEXT(DATE(YEAR(H65)-(($I65/12)-9),MONTH(H65),DAY(H65)),"dd/mm/yyyy"),", ",Constants!$W$6,TEXT($H65,"dd/mm/yyyy")),IF(($I65/12)=5,_xlfn.CONCAT(Constants!$N$5,TEXT(DATE(YEAR(H65)-(($I65/12)-1),MONTH(H65),DAY(H65)),"dd/mm/yyyy"),", ",Constants!$O$5,TEXT(DATE(YEAR(H65)-(($I65/12)-2),MONTH(H65),DAY(H65)),"dd/mm/yyyy"),", ",Constants!$P$5,TEXT(DATE(YEAR(H65)-(($I65/12)-3),MONTH(H65),DAY(H65)),"dd/mm/yyyy"),", ",Constants!$Q$5,TEXT(DATE(YEAR(H65)-(($I65/12)-4),MONTH(H65),DAY(H65)),"dd/mm/yyyy"),", ",Constants!$R$5,TEXT($H65,"dd/mm/yyyy")),IF(($I65/12)=3,_xlfn.CONCAT(Constants!$N$4,TEXT(DATE(YEAR(H65)-(($I65/12)-1),MONTH(H65),DAY(H65)),"dd/mm/yyyy"),", ",Constants!$O$4,TEXT(DATE(YEAR(H65)-(($I65/12)-2),MONTH(H65),DAY(H65)),"dd/mm/yyyy"),", ",Constants!$P$4,TEXT($H65,"dd/mm/yyyy")),IF(($I65/12)=2,_xlfn.CONCAT(Constants!$N$3,TEXT(DATE(YEAR(H65)-(($I65/12)-1),MONTH(H65),DAY(H65)),"dd/mm/yyyy"),", ",Constants!$O$3,TEXT($H65,"dd/mm/yyyy")),IF(($I65/12)=1,_xlfn.CONCAT(Constants!$N$2,TEXT($H65,"dd/mm/yyyy")),"Update Constants"))))))),"")</f>
        <v>2.5% to 31/01/2026, 1.5% to 31/01/2027</v>
      </c>
      <c r="BC65" s="147">
        <f>_xlfn.IFNA(VALUE(INDEX(Producer!$K:$K,MATCH($D65,Producer!$A:$A,0))),"")</f>
        <v>0</v>
      </c>
      <c r="BD65" s="147" t="str">
        <f>_xlfn.IFNA(INDEX(Producer!$I:$I,MATCH($D65,Producer!$A:$A,0)),"")</f>
        <v>No</v>
      </c>
      <c r="BE65" s="147" t="str">
        <f t="shared" si="8"/>
        <v>Yes</v>
      </c>
      <c r="BF65" s="147"/>
      <c r="BG65" s="147"/>
      <c r="BH65" s="151">
        <f>_xlfn.IFNA(INDEX(Constants!$B:$B,MATCH(BC65,Constants!A:A,0)),"")</f>
        <v>0</v>
      </c>
      <c r="BI65" s="147">
        <f>IF(LEFT(B65,15)="Limited Company",Constants!$D$16,IFERROR(_xlfn.IFNA(IF(C65="Residential",IF(BK65&lt;75,INDEX(Constants!$B:$B,MATCH(VALUE(60)/100,Constants!$A:$A,0)),INDEX(Constants!$B:$B,MATCH(VALUE(BK65)/100,Constants!$A:$A,0))),IF(BK65&lt;60,INDEX(Constants!$C:$C,MATCH(VALUE(60)/100,Constants!$A:$A,0)),INDEX(Constants!$C:$C,MATCH(VALUE(BK65)/100,Constants!$A:$A,0)))),""),""))</f>
        <v>2000000</v>
      </c>
      <c r="BJ65" s="147">
        <f t="shared" si="9"/>
        <v>0</v>
      </c>
      <c r="BK65" s="147">
        <f>_xlfn.IFNA(VALUE(INDEX(Producer!$E:$E,MATCH($D65,Producer!$A:$A,0)))*100,"")</f>
        <v>85</v>
      </c>
      <c r="BL65" s="146" t="str">
        <f>_xlfn.IFNA(IF(IFERROR(FIND("Part &amp; Part",B65),-10)&gt;0,"PP",IF(OR(LEFT(B65,25)="Residential Interest Only",INDEX(Producer!$P:$P,MATCH($D65,Producer!$A:$A,0))="IO",INDEX(Producer!$P:$P,MATCH($D65,Producer!$A:$A,0))="Retirement Interest Only"),"IO",IF($C65="BuyToLet","CI, IO","CI"))),"")</f>
        <v>CI</v>
      </c>
      <c r="BM65" s="152" t="str">
        <f>_xlfn.IFNA(IF(BL65="IO",100%,IF(AND(INDEX(Producer!$P:$P,MATCH($D65,Producer!$A:$A,0))="Residential Interest Only Part &amp; Part",BK65=75),80%,IF(C65="BuyToLet",100%,IF(BL65="Interest Only",100%,IF(AND(INDEX(Producer!$P:$P,MATCH($D65,Producer!$A:$A,0))="Residential Interest Only Part &amp; Part",BK65=60),100%,""))))),"")</f>
        <v/>
      </c>
      <c r="BN65" s="218" t="str">
        <f>_xlfn.IFNA(IF(VALUE(INDEX(Producer!$H:$H,MATCH($D65,Producer!$A:$A,0)))=0,"",VALUE(INDEX(Producer!$H:$H,MATCH($D65,Producer!$A:$A,0)))),"")</f>
        <v/>
      </c>
      <c r="BO65" s="153"/>
      <c r="BP65" s="153"/>
      <c r="BQ65" s="219">
        <f t="shared" si="10"/>
        <v>35</v>
      </c>
      <c r="BR65" s="146"/>
      <c r="BS65" s="146"/>
      <c r="BT65" s="146"/>
      <c r="BU65" s="146"/>
      <c r="BV65" s="219">
        <f t="shared" si="11"/>
        <v>199</v>
      </c>
      <c r="BW65" s="146"/>
      <c r="BX65" s="146"/>
      <c r="BY65" s="146" t="str">
        <f t="shared" si="12"/>
        <v>No</v>
      </c>
      <c r="BZ65" s="146" t="str">
        <f t="shared" si="13"/>
        <v>No</v>
      </c>
      <c r="CA65" s="146" t="str">
        <f t="shared" si="14"/>
        <v>No</v>
      </c>
      <c r="CB65" s="146" t="str">
        <f t="shared" si="15"/>
        <v>No</v>
      </c>
      <c r="CC65" s="146" t="str">
        <f>_xlfn.IFNA(IF(INDEX(Producer!$P:$P,MATCH($D65,Producer!$A:$A,0))="Help to Buy","Only available","No"),"")</f>
        <v>No</v>
      </c>
      <c r="CD65" s="146" t="str">
        <f>_xlfn.IFNA(IF(INDEX(Producer!$P:$P,MATCH($D65,Producer!$A:$A,0))="Shared Ownership","Only available","No"),"")</f>
        <v>No</v>
      </c>
      <c r="CE65" s="146" t="str">
        <f>_xlfn.IFNA(IF(INDEX(Producer!$P:$P,MATCH($D65,Producer!$A:$A,0))="Right to Buy","Only available","No"),"")</f>
        <v>No</v>
      </c>
      <c r="CF65" s="146" t="str">
        <f t="shared" si="16"/>
        <v>No</v>
      </c>
      <c r="CG65" s="146" t="str">
        <f>_xlfn.IFNA(IF(INDEX(Producer!$P:$P,MATCH($D65,Producer!$A:$A,0))="Retirement Interest Only","Only available","No"),"")</f>
        <v>No</v>
      </c>
      <c r="CH65" s="146" t="str">
        <f t="shared" si="17"/>
        <v>No</v>
      </c>
      <c r="CI65" s="146" t="str">
        <f>_xlfn.IFNA(IF(INDEX(Producer!$P:$P,MATCH($D65,Producer!$A:$A,0))="Intermediary Holiday Let","Only available","No"),"")</f>
        <v>No</v>
      </c>
      <c r="CJ65" s="146" t="str">
        <f t="shared" si="18"/>
        <v>No</v>
      </c>
      <c r="CK65" s="146" t="str">
        <f>_xlfn.IFNA(IF(OR(INDEX(Producer!$P:$P,MATCH($D65,Producer!$A:$A,0))="Intermediary Small HMO",INDEX(Producer!$P:$P,MATCH($D65,Producer!$A:$A,0))="Intermediary Large HMO"),"Only available","No"),"")</f>
        <v>No</v>
      </c>
      <c r="CL65" s="146" t="str">
        <f t="shared" si="19"/>
        <v>No</v>
      </c>
      <c r="CM65" s="146" t="str">
        <f t="shared" si="20"/>
        <v>No</v>
      </c>
      <c r="CN65" s="146" t="str">
        <f t="shared" si="21"/>
        <v>No</v>
      </c>
      <c r="CO65" s="146" t="str">
        <f t="shared" si="22"/>
        <v>Also available</v>
      </c>
      <c r="CP65" s="146" t="str">
        <f t="shared" si="23"/>
        <v>Only available</v>
      </c>
      <c r="CQ65" s="146" t="str">
        <f t="shared" si="24"/>
        <v>No</v>
      </c>
      <c r="CR65" s="146" t="str">
        <f t="shared" si="25"/>
        <v>Also available</v>
      </c>
      <c r="CS65" s="146" t="str">
        <f t="shared" si="26"/>
        <v>Only available</v>
      </c>
      <c r="CT65" s="146" t="str">
        <f t="shared" si="27"/>
        <v>No</v>
      </c>
      <c r="CU65" s="146"/>
    </row>
    <row r="66" spans="1:99" ht="16.399999999999999" customHeight="1" x14ac:dyDescent="0.35">
      <c r="A66" s="145" t="str">
        <f t="shared" si="0"/>
        <v>Leeds Building Society</v>
      </c>
      <c r="B66" s="145" t="str">
        <f>_xlfn.IFNA(_xlfn.CONCAT(INDEX(Producer!$P:$P,MATCH($D66,Producer!$A:$A,0))," ",IF(INDEX(Producer!$N:$N,MATCH($D66,Producer!$A:$A,0))="Yes","Green ",""),IF(AND(INDEX(Producer!$L:$L,MATCH($D66,Producer!$A:$A,0))="No",INDEX(Producer!$C:$C,MATCH($D66,Producer!$A:$A,0))="Fixed"),"Flexit ",""),INDEX(Producer!$B:$B,MATCH($D66,Producer!$A:$A,0))," Year ",INDEX(Producer!$C:$C,MATCH($D66,Producer!$A:$A,0))," ",VALUE(INDEX(Producer!$E:$E,MATCH($D66,Producer!$A:$A,0)))*100,"% LTV",IF(INDEX(Producer!$N:$N,MATCH($D66,Producer!$A:$A,0))="Yes"," (EPC A-C)","")," - ",IF(INDEX(Producer!$D:$D,MATCH($D66,Producer!$A:$A,0))="DLY","Daily","Annual")),"")</f>
        <v>Shared Equity 2 Year Fixed 125% LTV - Daily</v>
      </c>
      <c r="C66" s="146" t="str">
        <f>_xlfn.IFNA(INDEX(Producer!$Q:$Q,MATCH($D66,Producer!$A:$A,0)),"")</f>
        <v>Residential</v>
      </c>
      <c r="D66" s="146">
        <f>IFERROR(VALUE(MID(Producer!$R$2,IF($D65="",1/0,FIND(_xlfn.CONCAT($D64,$D65),Producer!$R$2)+10),5)),"")</f>
        <v>54309</v>
      </c>
      <c r="E66" s="146" t="str">
        <f t="shared" si="1"/>
        <v>Stepped Fixed</v>
      </c>
      <c r="F66" s="146"/>
      <c r="G66" s="147">
        <f>_xlfn.IFNA(VALUE(INDEX(Producer!$F:$F,MATCH($D66,Producer!$A:$A,0)))*100,"")</f>
        <v>6.79</v>
      </c>
      <c r="H66" s="216">
        <f>_xlfn.IFNA(IFERROR(DATEVALUE(INDEX(Producer!$M:$M,MATCH($D66,Producer!$A:$A,0))),(INDEX(Producer!$M:$M,MATCH($D66,Producer!$A:$A,0)))),"")</f>
        <v>46418</v>
      </c>
      <c r="I66" s="217">
        <f>_xlfn.IFNA(VALUE(INDEX(Producer!$B:$B,MATCH($D66,Producer!$A:$A,0)))*12,"")</f>
        <v>24</v>
      </c>
      <c r="J66" s="146">
        <f>_xlfn.IFNA(IF(C66="Residential",IF(VALUE(INDEX(Producer!$B:$B,MATCH($D66,Producer!$A:$A,0)))&lt;5,Constants!$C$10,""),IF(VALUE(INDEX(Producer!$B:$B,MATCH($D66,Producer!$A:$A,0)))&lt;5,Constants!$C$11,"")),"")</f>
        <v>7.49</v>
      </c>
      <c r="K66" s="216">
        <f>_xlfn.IFNA(IF(($I66)&lt;60,DATE(YEAR(H66)+(5-VALUE(INDEX(Producer!$B:$B,MATCH($D66,Producer!$A:$A,0)))),MONTH(H66),DAY(H66)),""),"")</f>
        <v>47514</v>
      </c>
      <c r="L66" s="153">
        <f t="shared" si="2"/>
        <v>36</v>
      </c>
      <c r="M66" s="146"/>
      <c r="N66" s="148"/>
      <c r="O66" s="148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>
        <f>IF(D66="","",IF(C66="Residential",Constants!$B$10,Constants!$B$11))</f>
        <v>8.24</v>
      </c>
      <c r="AL66" s="146" t="str">
        <f t="shared" si="3"/>
        <v>SVR</v>
      </c>
      <c r="AM66" s="206" t="str">
        <f t="shared" si="4"/>
        <v/>
      </c>
      <c r="AN66" s="146">
        <f t="shared" si="5"/>
        <v>10</v>
      </c>
      <c r="AO66" s="149" t="str">
        <f t="shared" si="6"/>
        <v>Remortgage</v>
      </c>
      <c r="AP66" s="150" t="str">
        <f t="shared" si="7"/>
        <v>ProductTransfer</v>
      </c>
      <c r="AQ66" s="146">
        <f>IFERROR(_xlfn.IFNA(IF($BA66="No",0,IF(INDEX(Constants!B:B,MATCH(($I66/12),Constants!$A:$A,0))=0,0,INDEX(Constants!B:B,MATCH(($I66/12),Constants!$A:$A,0)))),0),"")</f>
        <v>2.5</v>
      </c>
      <c r="AR66" s="146">
        <f>IFERROR(_xlfn.IFNA(IF($BA66="No",0,IF(INDEX(Constants!C:C,MATCH(($I66/12),Constants!$A:$A,0))=0,0,INDEX(Constants!C:C,MATCH(($I66/12),Constants!$A:$A,0)))),0),"")</f>
        <v>1.5</v>
      </c>
      <c r="AS66" s="146">
        <f>IFERROR(_xlfn.IFNA(IF($BA66="No",0,IF(INDEX(Constants!D:D,MATCH(($I66/12),Constants!$A:$A,0))=0,0,INDEX(Constants!D:D,MATCH(($I66/12),Constants!$A:$A,0)))),0),"")</f>
        <v>0</v>
      </c>
      <c r="AT66" s="146">
        <f>IFERROR(_xlfn.IFNA(IF($BA66="No",0,IF(INDEX(Constants!E:E,MATCH(($I66/12),Constants!$A:$A,0))=0,0,INDEX(Constants!E:E,MATCH(($I66/12),Constants!$A:$A,0)))),0),"")</f>
        <v>0</v>
      </c>
      <c r="AU66" s="146">
        <f>IFERROR(_xlfn.IFNA(IF($BA66="No",0,IF(INDEX(Constants!F:F,MATCH(($I66/12),Constants!$A:$A,0))=0,0,INDEX(Constants!F:F,MATCH(($I66/12),Constants!$A:$A,0)))),0),"")</f>
        <v>0</v>
      </c>
      <c r="AV66" s="146">
        <f>IFERROR(_xlfn.IFNA(IF($BA66="No",0,IF(INDEX(Constants!G:G,MATCH(($I66/12),Constants!$A:$A,0))=0,0,INDEX(Constants!G:G,MATCH(($I66/12),Constants!$A:$A,0)))),0),"")</f>
        <v>0</v>
      </c>
      <c r="AW66" s="146">
        <f>IFERROR(_xlfn.IFNA(IF($BA66="No",0,IF(INDEX(Constants!H:H,MATCH(($I66/12),Constants!$A:$A,0))=0,0,INDEX(Constants!H:H,MATCH(($I66/12),Constants!$A:$A,0)))),0),"")</f>
        <v>0</v>
      </c>
      <c r="AX66" s="146">
        <f>IFERROR(_xlfn.IFNA(IF($BA66="No",0,IF(INDEX(Constants!I:I,MATCH(($I66/12),Constants!$A:$A,0))=0,0,INDEX(Constants!I:I,MATCH(($I66/12),Constants!$A:$A,0)))),0),"")</f>
        <v>0</v>
      </c>
      <c r="AY66" s="146">
        <f>IFERROR(_xlfn.IFNA(IF($BA66="No",0,IF(INDEX(Constants!J:J,MATCH(($I66/12),Constants!$A:$A,0))=0,0,INDEX(Constants!J:J,MATCH(($I66/12),Constants!$A:$A,0)))),0),"")</f>
        <v>0</v>
      </c>
      <c r="AZ66" s="146">
        <f>IFERROR(_xlfn.IFNA(IF($BA66="No",0,IF(INDEX(Constants!K:K,MATCH(($I66/12),Constants!$A:$A,0))=0,0,INDEX(Constants!K:K,MATCH(($I66/12),Constants!$A:$A,0)))),0),"")</f>
        <v>0</v>
      </c>
      <c r="BA66" s="147" t="str">
        <f>_xlfn.IFNA(INDEX(Producer!$L:$L,MATCH($D66,Producer!$A:$A,0)),"")</f>
        <v>Yes</v>
      </c>
      <c r="BB66" s="146" t="str">
        <f>IFERROR(IF(AQ66=0,"",IF(($I66/12)=15,_xlfn.CONCAT(Constants!$N$7,TEXT(DATE(YEAR(H66)-(($I66/12)-3),MONTH(H66),DAY(H66)),"dd/mm/yyyy"),", ",Constants!$P$7,TEXT(DATE(YEAR(H66)-(($I66/12)-8),MONTH(H66),DAY(H66)),"dd/mm/yyyy"),", ",Constants!$T$7,TEXT(DATE(YEAR(H66)-(($I66/12)-11),MONTH(H66),DAY(H66)),"dd/mm/yyyy"),", ",Constants!$V$7,TEXT(DATE(YEAR(H66)-(($I66/12)-13),MONTH(H66),DAY(H66)),"dd/mm/yyyy"),", ",Constants!$W$7,TEXT($H66,"dd/mm/yyyy")),IF(($I66/12)=10,_xlfn.CONCAT(Constants!$N$6,TEXT(DATE(YEAR(H66)-(($I66/12)-2),MONTH(H66),DAY(H66)),"dd/mm/yyyy"),", ",Constants!$P$6,TEXT(DATE(YEAR(H66)-(($I66/12)-6),MONTH(H66),DAY(H66)),"dd/mm/yyyy"),", ",Constants!$T$6,TEXT(DATE(YEAR(H66)-(($I66/12)-8),MONTH(H66),DAY(H66)),"dd/mm/yyyy"),", ",Constants!$V$6,TEXT(DATE(YEAR(H66)-(($I66/12)-9),MONTH(H66),DAY(H66)),"dd/mm/yyyy"),", ",Constants!$W$6,TEXT($H66,"dd/mm/yyyy")),IF(($I66/12)=5,_xlfn.CONCAT(Constants!$N$5,TEXT(DATE(YEAR(H66)-(($I66/12)-1),MONTH(H66),DAY(H66)),"dd/mm/yyyy"),", ",Constants!$O$5,TEXT(DATE(YEAR(H66)-(($I66/12)-2),MONTH(H66),DAY(H66)),"dd/mm/yyyy"),", ",Constants!$P$5,TEXT(DATE(YEAR(H66)-(($I66/12)-3),MONTH(H66),DAY(H66)),"dd/mm/yyyy"),", ",Constants!$Q$5,TEXT(DATE(YEAR(H66)-(($I66/12)-4),MONTH(H66),DAY(H66)),"dd/mm/yyyy"),", ",Constants!$R$5,TEXT($H66,"dd/mm/yyyy")),IF(($I66/12)=3,_xlfn.CONCAT(Constants!$N$4,TEXT(DATE(YEAR(H66)-(($I66/12)-1),MONTH(H66),DAY(H66)),"dd/mm/yyyy"),", ",Constants!$O$4,TEXT(DATE(YEAR(H66)-(($I66/12)-2),MONTH(H66),DAY(H66)),"dd/mm/yyyy"),", ",Constants!$P$4,TEXT($H66,"dd/mm/yyyy")),IF(($I66/12)=2,_xlfn.CONCAT(Constants!$N$3,TEXT(DATE(YEAR(H66)-(($I66/12)-1),MONTH(H66),DAY(H66)),"dd/mm/yyyy"),", ",Constants!$O$3,TEXT($H66,"dd/mm/yyyy")),IF(($I66/12)=1,_xlfn.CONCAT(Constants!$N$2,TEXT($H66,"dd/mm/yyyy")),"Update Constants"))))))),"")</f>
        <v>2.5% to 31/01/2026, 1.5% to 31/01/2027</v>
      </c>
      <c r="BC66" s="147">
        <f>_xlfn.IFNA(VALUE(INDEX(Producer!$K:$K,MATCH($D66,Producer!$A:$A,0))),"")</f>
        <v>0</v>
      </c>
      <c r="BD66" s="147" t="str">
        <f>_xlfn.IFNA(INDEX(Producer!$I:$I,MATCH($D66,Producer!$A:$A,0)),"")</f>
        <v>No</v>
      </c>
      <c r="BE66" s="147" t="str">
        <f t="shared" si="8"/>
        <v>Yes</v>
      </c>
      <c r="BF66" s="147"/>
      <c r="BG66" s="147"/>
      <c r="BH66" s="151">
        <f>_xlfn.IFNA(INDEX(Constants!$B:$B,MATCH(BC66,Constants!A:A,0)),"")</f>
        <v>0</v>
      </c>
      <c r="BI66" s="147" t="str">
        <f>IF(LEFT(B66,15)="Limited Company",Constants!$D$16,IFERROR(_xlfn.IFNA(IF(C66="Residential",IF(BK66&lt;75,INDEX(Constants!$B:$B,MATCH(VALUE(60)/100,Constants!$A:$A,0)),INDEX(Constants!$B:$B,MATCH(VALUE(BK66)/100,Constants!$A:$A,0))),IF(BK66&lt;60,INDEX(Constants!$C:$C,MATCH(VALUE(60)/100,Constants!$A:$A,0)),INDEX(Constants!$C:$C,MATCH(VALUE(BK66)/100,Constants!$A:$A,0)))),""),""))</f>
        <v/>
      </c>
      <c r="BJ66" s="147">
        <f t="shared" si="9"/>
        <v>0</v>
      </c>
      <c r="BK66" s="147">
        <f>_xlfn.IFNA(VALUE(INDEX(Producer!$E:$E,MATCH($D66,Producer!$A:$A,0)))*100,"")</f>
        <v>125</v>
      </c>
      <c r="BL66" s="146" t="str">
        <f>_xlfn.IFNA(IF(IFERROR(FIND("Part &amp; Part",B66),-10)&gt;0,"PP",IF(OR(LEFT(B66,25)="Residential Interest Only",INDEX(Producer!$P:$P,MATCH($D66,Producer!$A:$A,0))="IO",INDEX(Producer!$P:$P,MATCH($D66,Producer!$A:$A,0))="Retirement Interest Only"),"IO",IF($C66="BuyToLet","CI, IO","CI"))),"")</f>
        <v>CI</v>
      </c>
      <c r="BM66" s="152" t="str">
        <f>_xlfn.IFNA(IF(BL66="IO",100%,IF(AND(INDEX(Producer!$P:$P,MATCH($D66,Producer!$A:$A,0))="Residential Interest Only Part &amp; Part",BK66=75),80%,IF(C66="BuyToLet",100%,IF(BL66="Interest Only",100%,IF(AND(INDEX(Producer!$P:$P,MATCH($D66,Producer!$A:$A,0))="Residential Interest Only Part &amp; Part",BK66=60),100%,""))))),"")</f>
        <v/>
      </c>
      <c r="BN66" s="218" t="str">
        <f>_xlfn.IFNA(IF(VALUE(INDEX(Producer!$H:$H,MATCH($D66,Producer!$A:$A,0)))=0,"",VALUE(INDEX(Producer!$H:$H,MATCH($D66,Producer!$A:$A,0)))),"")</f>
        <v/>
      </c>
      <c r="BO66" s="153"/>
      <c r="BP66" s="153"/>
      <c r="BQ66" s="219">
        <f t="shared" si="10"/>
        <v>35</v>
      </c>
      <c r="BR66" s="146"/>
      <c r="BS66" s="146"/>
      <c r="BT66" s="146"/>
      <c r="BU66" s="146"/>
      <c r="BV66" s="219">
        <f t="shared" si="11"/>
        <v>199</v>
      </c>
      <c r="BW66" s="146"/>
      <c r="BX66" s="146"/>
      <c r="BY66" s="146" t="str">
        <f t="shared" si="12"/>
        <v>No</v>
      </c>
      <c r="BZ66" s="146" t="str">
        <f t="shared" si="13"/>
        <v>No</v>
      </c>
      <c r="CA66" s="146" t="str">
        <f t="shared" si="14"/>
        <v>No</v>
      </c>
      <c r="CB66" s="146" t="str">
        <f t="shared" si="15"/>
        <v>No</v>
      </c>
      <c r="CC66" s="146" t="str">
        <f>_xlfn.IFNA(IF(INDEX(Producer!$P:$P,MATCH($D66,Producer!$A:$A,0))="Help to Buy","Only available","No"),"")</f>
        <v>No</v>
      </c>
      <c r="CD66" s="146" t="str">
        <f>_xlfn.IFNA(IF(INDEX(Producer!$P:$P,MATCH($D66,Producer!$A:$A,0))="Shared Ownership","Only available","No"),"")</f>
        <v>No</v>
      </c>
      <c r="CE66" s="146" t="str">
        <f>_xlfn.IFNA(IF(INDEX(Producer!$P:$P,MATCH($D66,Producer!$A:$A,0))="Right to Buy","Only available","No"),"")</f>
        <v>No</v>
      </c>
      <c r="CF66" s="146" t="str">
        <f t="shared" si="16"/>
        <v>No</v>
      </c>
      <c r="CG66" s="146" t="str">
        <f>_xlfn.IFNA(IF(INDEX(Producer!$P:$P,MATCH($D66,Producer!$A:$A,0))="Retirement Interest Only","Only available","No"),"")</f>
        <v>No</v>
      </c>
      <c r="CH66" s="146" t="str">
        <f t="shared" si="17"/>
        <v>No</v>
      </c>
      <c r="CI66" s="146" t="str">
        <f>_xlfn.IFNA(IF(INDEX(Producer!$P:$P,MATCH($D66,Producer!$A:$A,0))="Intermediary Holiday Let","Only available","No"),"")</f>
        <v>No</v>
      </c>
      <c r="CJ66" s="146" t="str">
        <f t="shared" si="18"/>
        <v>No</v>
      </c>
      <c r="CK66" s="146" t="str">
        <f>_xlfn.IFNA(IF(OR(INDEX(Producer!$P:$P,MATCH($D66,Producer!$A:$A,0))="Intermediary Small HMO",INDEX(Producer!$P:$P,MATCH($D66,Producer!$A:$A,0))="Intermediary Large HMO"),"Only available","No"),"")</f>
        <v>No</v>
      </c>
      <c r="CL66" s="146" t="str">
        <f t="shared" si="19"/>
        <v>No</v>
      </c>
      <c r="CM66" s="146" t="str">
        <f t="shared" si="20"/>
        <v>No</v>
      </c>
      <c r="CN66" s="146" t="str">
        <f t="shared" si="21"/>
        <v>No</v>
      </c>
      <c r="CO66" s="146" t="str">
        <f t="shared" si="22"/>
        <v>No</v>
      </c>
      <c r="CP66" s="146" t="str">
        <f t="shared" si="23"/>
        <v>Only available</v>
      </c>
      <c r="CQ66" s="146" t="str">
        <f t="shared" si="24"/>
        <v>No</v>
      </c>
      <c r="CR66" s="146" t="str">
        <f t="shared" si="25"/>
        <v>Also available</v>
      </c>
      <c r="CS66" s="146" t="str">
        <f t="shared" si="26"/>
        <v>Only available</v>
      </c>
      <c r="CT66" s="146" t="str">
        <f t="shared" si="27"/>
        <v>No</v>
      </c>
      <c r="CU66" s="146"/>
    </row>
    <row r="67" spans="1:99" ht="16.399999999999999" customHeight="1" x14ac:dyDescent="0.35">
      <c r="A67" s="145" t="str">
        <f t="shared" ref="A67:A130" si="28">IF(B67="","","Leeds Building Society")</f>
        <v>Leeds Building Society</v>
      </c>
      <c r="B67" s="145" t="str">
        <f>_xlfn.IFNA(_xlfn.CONCAT(INDEX(Producer!$P:$P,MATCH($D67,Producer!$A:$A,0))," ",IF(INDEX(Producer!$N:$N,MATCH($D67,Producer!$A:$A,0))="Yes","Green ",""),IF(AND(INDEX(Producer!$L:$L,MATCH($D67,Producer!$A:$A,0))="No",INDEX(Producer!$C:$C,MATCH($D67,Producer!$A:$A,0))="Fixed"),"Flexit ",""),INDEX(Producer!$B:$B,MATCH($D67,Producer!$A:$A,0))," Year ",INDEX(Producer!$C:$C,MATCH($D67,Producer!$A:$A,0))," ",VALUE(INDEX(Producer!$E:$E,MATCH($D67,Producer!$A:$A,0)))*100,"% LTV",IF(INDEX(Producer!$N:$N,MATCH($D67,Producer!$A:$A,0))="Yes"," (EPC A-C)","")," - ",IF(INDEX(Producer!$D:$D,MATCH($D67,Producer!$A:$A,0))="DLY","Daily","Annual")),"")</f>
        <v>Help to Buy 2 Year Fixed 75% LTV - Daily</v>
      </c>
      <c r="C67" s="146" t="str">
        <f>_xlfn.IFNA(INDEX(Producer!$Q:$Q,MATCH($D67,Producer!$A:$A,0)),"")</f>
        <v>Residential</v>
      </c>
      <c r="D67" s="146">
        <f>IFERROR(VALUE(MID(Producer!$R$2,IF($D66="",1/0,FIND(_xlfn.CONCAT($D65,$D66),Producer!$R$2)+10),5)),"")</f>
        <v>54312</v>
      </c>
      <c r="E67" s="146" t="str">
        <f t="shared" ref="E67:E130" si="29">IF(D67="","",IF(IFERROR(FIND("Tracker",B67),-1)&gt;0,"Tracker",IF(J67="","Fixed","Stepped Fixed")))</f>
        <v>Stepped Fixed</v>
      </c>
      <c r="F67" s="146"/>
      <c r="G67" s="147">
        <f>_xlfn.IFNA(VALUE(INDEX(Producer!$F:$F,MATCH($D67,Producer!$A:$A,0)))*100,"")</f>
        <v>5.4399999999999995</v>
      </c>
      <c r="H67" s="216">
        <f>_xlfn.IFNA(IFERROR(DATEVALUE(INDEX(Producer!$M:$M,MATCH($D67,Producer!$A:$A,0))),(INDEX(Producer!$M:$M,MATCH($D67,Producer!$A:$A,0)))),"")</f>
        <v>46418</v>
      </c>
      <c r="I67" s="217">
        <f>_xlfn.IFNA(VALUE(INDEX(Producer!$B:$B,MATCH($D67,Producer!$A:$A,0)))*12,"")</f>
        <v>24</v>
      </c>
      <c r="J67" s="146">
        <f>_xlfn.IFNA(IF(C67="Residential",IF(VALUE(INDEX(Producer!$B:$B,MATCH($D67,Producer!$A:$A,0)))&lt;5,Constants!$C$10,""),IF(VALUE(INDEX(Producer!$B:$B,MATCH($D67,Producer!$A:$A,0)))&lt;5,Constants!$C$11,"")),"")</f>
        <v>7.49</v>
      </c>
      <c r="K67" s="216">
        <f>_xlfn.IFNA(IF(($I67)&lt;60,DATE(YEAR(H67)+(5-VALUE(INDEX(Producer!$B:$B,MATCH($D67,Producer!$A:$A,0)))),MONTH(H67),DAY(H67)),""),"")</f>
        <v>47514</v>
      </c>
      <c r="L67" s="153">
        <f t="shared" ref="L67:L130" si="30">IFERROR(ROUNDDOWN(VALUE((K67-H67)/365)*12,0),"")</f>
        <v>36</v>
      </c>
      <c r="M67" s="146"/>
      <c r="N67" s="148"/>
      <c r="O67" s="148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>
        <f>IF(D67="","",IF(C67="Residential",Constants!$B$10,Constants!$B$11))</f>
        <v>8.24</v>
      </c>
      <c r="AL67" s="146" t="str">
        <f t="shared" ref="AL67:AL130" si="31">IF(D67="","",IF(C67="Residential","SVR","BVR"))</f>
        <v>SVR</v>
      </c>
      <c r="AM67" s="206" t="str">
        <f t="shared" ref="AM67:AM130" si="32">IF(E67="Tracker",0%,"")</f>
        <v/>
      </c>
      <c r="AN67" s="146">
        <f t="shared" ref="AN67:AN130" si="33">IF(D67="","",IFERROR(IF(AQ67="","",10),10))</f>
        <v>10</v>
      </c>
      <c r="AO67" s="149" t="str">
        <f t="shared" ref="AO67:AO130" si="34">IF(A67="","","Remortgage")</f>
        <v>Remortgage</v>
      </c>
      <c r="AP67" s="150" t="str">
        <f t="shared" ref="AP67:AP130" si="35">IF(D67="","","ProductTransfer")</f>
        <v>ProductTransfer</v>
      </c>
      <c r="AQ67" s="146">
        <f>IFERROR(_xlfn.IFNA(IF($BA67="No",0,IF(INDEX(Constants!B:B,MATCH(($I67/12),Constants!$A:$A,0))=0,0,INDEX(Constants!B:B,MATCH(($I67/12),Constants!$A:$A,0)))),0),"")</f>
        <v>2.5</v>
      </c>
      <c r="AR67" s="146">
        <f>IFERROR(_xlfn.IFNA(IF($BA67="No",0,IF(INDEX(Constants!C:C,MATCH(($I67/12),Constants!$A:$A,0))=0,0,INDEX(Constants!C:C,MATCH(($I67/12),Constants!$A:$A,0)))),0),"")</f>
        <v>1.5</v>
      </c>
      <c r="AS67" s="146">
        <f>IFERROR(_xlfn.IFNA(IF($BA67="No",0,IF(INDEX(Constants!D:D,MATCH(($I67/12),Constants!$A:$A,0))=0,0,INDEX(Constants!D:D,MATCH(($I67/12),Constants!$A:$A,0)))),0),"")</f>
        <v>0</v>
      </c>
      <c r="AT67" s="146">
        <f>IFERROR(_xlfn.IFNA(IF($BA67="No",0,IF(INDEX(Constants!E:E,MATCH(($I67/12),Constants!$A:$A,0))=0,0,INDEX(Constants!E:E,MATCH(($I67/12),Constants!$A:$A,0)))),0),"")</f>
        <v>0</v>
      </c>
      <c r="AU67" s="146">
        <f>IFERROR(_xlfn.IFNA(IF($BA67="No",0,IF(INDEX(Constants!F:F,MATCH(($I67/12),Constants!$A:$A,0))=0,0,INDEX(Constants!F:F,MATCH(($I67/12),Constants!$A:$A,0)))),0),"")</f>
        <v>0</v>
      </c>
      <c r="AV67" s="146">
        <f>IFERROR(_xlfn.IFNA(IF($BA67="No",0,IF(INDEX(Constants!G:G,MATCH(($I67/12),Constants!$A:$A,0))=0,0,INDEX(Constants!G:G,MATCH(($I67/12),Constants!$A:$A,0)))),0),"")</f>
        <v>0</v>
      </c>
      <c r="AW67" s="146">
        <f>IFERROR(_xlfn.IFNA(IF($BA67="No",0,IF(INDEX(Constants!H:H,MATCH(($I67/12),Constants!$A:$A,0))=0,0,INDEX(Constants!H:H,MATCH(($I67/12),Constants!$A:$A,0)))),0),"")</f>
        <v>0</v>
      </c>
      <c r="AX67" s="146">
        <f>IFERROR(_xlfn.IFNA(IF($BA67="No",0,IF(INDEX(Constants!I:I,MATCH(($I67/12),Constants!$A:$A,0))=0,0,INDEX(Constants!I:I,MATCH(($I67/12),Constants!$A:$A,0)))),0),"")</f>
        <v>0</v>
      </c>
      <c r="AY67" s="146">
        <f>IFERROR(_xlfn.IFNA(IF($BA67="No",0,IF(INDEX(Constants!J:J,MATCH(($I67/12),Constants!$A:$A,0))=0,0,INDEX(Constants!J:J,MATCH(($I67/12),Constants!$A:$A,0)))),0),"")</f>
        <v>0</v>
      </c>
      <c r="AZ67" s="146">
        <f>IFERROR(_xlfn.IFNA(IF($BA67="No",0,IF(INDEX(Constants!K:K,MATCH(($I67/12),Constants!$A:$A,0))=0,0,INDEX(Constants!K:K,MATCH(($I67/12),Constants!$A:$A,0)))),0),"")</f>
        <v>0</v>
      </c>
      <c r="BA67" s="147" t="str">
        <f>_xlfn.IFNA(INDEX(Producer!$L:$L,MATCH($D67,Producer!$A:$A,0)),"")</f>
        <v>Yes</v>
      </c>
      <c r="BB67" s="146" t="str">
        <f>IFERROR(IF(AQ67=0,"",IF(($I67/12)=15,_xlfn.CONCAT(Constants!$N$7,TEXT(DATE(YEAR(H67)-(($I67/12)-3),MONTH(H67),DAY(H67)),"dd/mm/yyyy"),", ",Constants!$P$7,TEXT(DATE(YEAR(H67)-(($I67/12)-8),MONTH(H67),DAY(H67)),"dd/mm/yyyy"),", ",Constants!$T$7,TEXT(DATE(YEAR(H67)-(($I67/12)-11),MONTH(H67),DAY(H67)),"dd/mm/yyyy"),", ",Constants!$V$7,TEXT(DATE(YEAR(H67)-(($I67/12)-13),MONTH(H67),DAY(H67)),"dd/mm/yyyy"),", ",Constants!$W$7,TEXT($H67,"dd/mm/yyyy")),IF(($I67/12)=10,_xlfn.CONCAT(Constants!$N$6,TEXT(DATE(YEAR(H67)-(($I67/12)-2),MONTH(H67),DAY(H67)),"dd/mm/yyyy"),", ",Constants!$P$6,TEXT(DATE(YEAR(H67)-(($I67/12)-6),MONTH(H67),DAY(H67)),"dd/mm/yyyy"),", ",Constants!$T$6,TEXT(DATE(YEAR(H67)-(($I67/12)-8),MONTH(H67),DAY(H67)),"dd/mm/yyyy"),", ",Constants!$V$6,TEXT(DATE(YEAR(H67)-(($I67/12)-9),MONTH(H67),DAY(H67)),"dd/mm/yyyy"),", ",Constants!$W$6,TEXT($H67,"dd/mm/yyyy")),IF(($I67/12)=5,_xlfn.CONCAT(Constants!$N$5,TEXT(DATE(YEAR(H67)-(($I67/12)-1),MONTH(H67),DAY(H67)),"dd/mm/yyyy"),", ",Constants!$O$5,TEXT(DATE(YEAR(H67)-(($I67/12)-2),MONTH(H67),DAY(H67)),"dd/mm/yyyy"),", ",Constants!$P$5,TEXT(DATE(YEAR(H67)-(($I67/12)-3),MONTH(H67),DAY(H67)),"dd/mm/yyyy"),", ",Constants!$Q$5,TEXT(DATE(YEAR(H67)-(($I67/12)-4),MONTH(H67),DAY(H67)),"dd/mm/yyyy"),", ",Constants!$R$5,TEXT($H67,"dd/mm/yyyy")),IF(($I67/12)=3,_xlfn.CONCAT(Constants!$N$4,TEXT(DATE(YEAR(H67)-(($I67/12)-1),MONTH(H67),DAY(H67)),"dd/mm/yyyy"),", ",Constants!$O$4,TEXT(DATE(YEAR(H67)-(($I67/12)-2),MONTH(H67),DAY(H67)),"dd/mm/yyyy"),", ",Constants!$P$4,TEXT($H67,"dd/mm/yyyy")),IF(($I67/12)=2,_xlfn.CONCAT(Constants!$N$3,TEXT(DATE(YEAR(H67)-(($I67/12)-1),MONTH(H67),DAY(H67)),"dd/mm/yyyy"),", ",Constants!$O$3,TEXT($H67,"dd/mm/yyyy")),IF(($I67/12)=1,_xlfn.CONCAT(Constants!$N$2,TEXT($H67,"dd/mm/yyyy")),"Update Constants"))))))),"")</f>
        <v>2.5% to 31/01/2026, 1.5% to 31/01/2027</v>
      </c>
      <c r="BC67" s="147">
        <f>_xlfn.IFNA(VALUE(INDEX(Producer!$K:$K,MATCH($D67,Producer!$A:$A,0))),"")</f>
        <v>0</v>
      </c>
      <c r="BD67" s="147" t="str">
        <f>_xlfn.IFNA(INDEX(Producer!$I:$I,MATCH($D67,Producer!$A:$A,0)),"")</f>
        <v>No</v>
      </c>
      <c r="BE67" s="147" t="str">
        <f t="shared" ref="BE67:BE130" si="36">IF(B67="","","Yes")</f>
        <v>Yes</v>
      </c>
      <c r="BF67" s="147"/>
      <c r="BG67" s="147"/>
      <c r="BH67" s="151">
        <f>_xlfn.IFNA(INDEX(Constants!$B:$B,MATCH(BC67,Constants!A:A,0)),"")</f>
        <v>0</v>
      </c>
      <c r="BI67" s="147">
        <f>IF(LEFT(B67,15)="Limited Company",Constants!$D$16,IFERROR(_xlfn.IFNA(IF(C67="Residential",IF(BK67&lt;75,INDEX(Constants!$B:$B,MATCH(VALUE(60)/100,Constants!$A:$A,0)),INDEX(Constants!$B:$B,MATCH(VALUE(BK67)/100,Constants!$A:$A,0))),IF(BK67&lt;60,INDEX(Constants!$C:$C,MATCH(VALUE(60)/100,Constants!$A:$A,0)),INDEX(Constants!$C:$C,MATCH(VALUE(BK67)/100,Constants!$A:$A,0)))),""),""))</f>
        <v>2000000</v>
      </c>
      <c r="BJ67" s="147">
        <f t="shared" ref="BJ67:BJ130" si="37">IF(B67="","",0)</f>
        <v>0</v>
      </c>
      <c r="BK67" s="147">
        <f>_xlfn.IFNA(VALUE(INDEX(Producer!$E:$E,MATCH($D67,Producer!$A:$A,0)))*100,"")</f>
        <v>75</v>
      </c>
      <c r="BL67" s="146" t="str">
        <f>_xlfn.IFNA(IF(IFERROR(FIND("Part &amp; Part",B67),-10)&gt;0,"PP",IF(OR(LEFT(B67,25)="Residential Interest Only",INDEX(Producer!$P:$P,MATCH($D67,Producer!$A:$A,0))="IO",INDEX(Producer!$P:$P,MATCH($D67,Producer!$A:$A,0))="Retirement Interest Only"),"IO",IF($C67="BuyToLet","CI, IO","CI"))),"")</f>
        <v>CI</v>
      </c>
      <c r="BM67" s="152" t="str">
        <f>_xlfn.IFNA(IF(BL67="IO",100%,IF(AND(INDEX(Producer!$P:$P,MATCH($D67,Producer!$A:$A,0))="Residential Interest Only Part &amp; Part",BK67=75),80%,IF(C67="BuyToLet",100%,IF(BL67="Interest Only",100%,IF(AND(INDEX(Producer!$P:$P,MATCH($D67,Producer!$A:$A,0))="Residential Interest Only Part &amp; Part",BK67=60),100%,""))))),"")</f>
        <v/>
      </c>
      <c r="BN67" s="218" t="str">
        <f>_xlfn.IFNA(IF(VALUE(INDEX(Producer!$H:$H,MATCH($D67,Producer!$A:$A,0)))=0,"",VALUE(INDEX(Producer!$H:$H,MATCH($D67,Producer!$A:$A,0)))),"")</f>
        <v/>
      </c>
      <c r="BO67" s="153"/>
      <c r="BP67" s="153"/>
      <c r="BQ67" s="219">
        <f t="shared" ref="BQ67:BQ130" si="38">IF(D67="","",35)</f>
        <v>35</v>
      </c>
      <c r="BR67" s="146"/>
      <c r="BS67" s="146"/>
      <c r="BT67" s="146"/>
      <c r="BU67" s="146"/>
      <c r="BV67" s="219">
        <f t="shared" ref="BV67:BV130" si="39">IF(A67="","",199)</f>
        <v>199</v>
      </c>
      <c r="BW67" s="146"/>
      <c r="BX67" s="146"/>
      <c r="BY67" s="146" t="str">
        <f t="shared" ref="BY67:BY130" si="40">IF(D67="","",IF(C67="BuyToLet","No","No"))</f>
        <v>No</v>
      </c>
      <c r="BZ67" s="146" t="str">
        <f t="shared" ref="BZ67:BZ130" si="41">IF(D67="","","No")</f>
        <v>No</v>
      </c>
      <c r="CA67" s="146" t="str">
        <f t="shared" ref="CA67:CA130" si="42">IF(D67="","",IF(LEFT(B67,12)="Second Homes","Only Available","No"))</f>
        <v>No</v>
      </c>
      <c r="CB67" s="146" t="str">
        <f t="shared" ref="CB67:CB130" si="43">IF(D67="","","No")</f>
        <v>No</v>
      </c>
      <c r="CC67" s="146" t="str">
        <f>_xlfn.IFNA(IF(INDEX(Producer!$P:$P,MATCH($D67,Producer!$A:$A,0))="Help to Buy","Only available","No"),"")</f>
        <v>Only available</v>
      </c>
      <c r="CD67" s="146" t="str">
        <f>_xlfn.IFNA(IF(INDEX(Producer!$P:$P,MATCH($D67,Producer!$A:$A,0))="Shared Ownership","Only available","No"),"")</f>
        <v>No</v>
      </c>
      <c r="CE67" s="146" t="str">
        <f>_xlfn.IFNA(IF(INDEX(Producer!$P:$P,MATCH($D67,Producer!$A:$A,0))="Right to Buy","Only available","No"),"")</f>
        <v>No</v>
      </c>
      <c r="CF67" s="146" t="str">
        <f t="shared" ref="CF67:CF130" si="44">IF(D67="","","No")</f>
        <v>No</v>
      </c>
      <c r="CG67" s="146" t="str">
        <f>_xlfn.IFNA(IF(INDEX(Producer!$P:$P,MATCH($D67,Producer!$A:$A,0))="Retirement Interest Only","Only available","No"),"")</f>
        <v>No</v>
      </c>
      <c r="CH67" s="146" t="str">
        <f t="shared" ref="CH67:CH130" si="45">IF(B67="","",IF(LEFT(B67,15)="Limited Company","Only available","No"))</f>
        <v>No</v>
      </c>
      <c r="CI67" s="146" t="str">
        <f>_xlfn.IFNA(IF(INDEX(Producer!$P:$P,MATCH($D67,Producer!$A:$A,0))="Intermediary Holiday Let","Only available","No"),"")</f>
        <v>No</v>
      </c>
      <c r="CJ67" s="146" t="str">
        <f t="shared" ref="CJ67:CJ130" si="46">IF(D67="","","No")</f>
        <v>No</v>
      </c>
      <c r="CK67" s="146" t="str">
        <f>_xlfn.IFNA(IF(OR(INDEX(Producer!$P:$P,MATCH($D67,Producer!$A:$A,0))="Intermediary Small HMO",INDEX(Producer!$P:$P,MATCH($D67,Producer!$A:$A,0))="Intermediary Large HMO"),"Only available","No"),"")</f>
        <v>No</v>
      </c>
      <c r="CL67" s="146" t="str">
        <f t="shared" ref="CL67:CL130" si="47">IF(D67="","",IF(AND(LEFT(B67,15)&lt;&gt;"Limited Company",C67="BuyToLet"),"Also available","No"))</f>
        <v>No</v>
      </c>
      <c r="CM67" s="146" t="str">
        <f t="shared" ref="CM67:CM130" si="48">IF(B67="","",IF(LEFT(B67,26)="Intermediary Portfolio BTL","Only available",IF(OR(LEFT(B67,18)="Intermediary Large",LEFT(B67,18)="Intermediary Small",LEFT(B67,20)="Intermediary Holiday",LEFT(B67,15)="Limited Company"),"Also available","No")))</f>
        <v>No</v>
      </c>
      <c r="CN67" s="146" t="str">
        <f t="shared" ref="CN67:CN130" si="49">IF(D67="","","No")</f>
        <v>No</v>
      </c>
      <c r="CO67" s="146" t="str">
        <f t="shared" ref="CO67:CO130" si="50">IF(A67="","",IF(AND(C67="Residential",BK67&lt;95),"Also available",IF(AND(C67="BuyToLet",BK67&lt;80),"Also available","No")))</f>
        <v>Also available</v>
      </c>
      <c r="CP67" s="146" t="str">
        <f t="shared" ref="CP67:CP130" si="51">IF(B67="","",IF(LEFT(B67,13)="Shared Equity","Only available","No"))</f>
        <v>No</v>
      </c>
      <c r="CQ67" s="146" t="str">
        <f t="shared" ref="CQ67:CQ130" si="52">IF(B67="","","No")</f>
        <v>No</v>
      </c>
      <c r="CR67" s="146" t="str">
        <f t="shared" ref="CR67:CR130" si="53">IF(B67="","",IF(IFERROR(FIND("Green",B67),-10)&gt;0,"Only available","Also available"))</f>
        <v>Also available</v>
      </c>
      <c r="CS67" s="146" t="str">
        <f t="shared" ref="CS67:CS130" si="54">IF(B67="","","Only available")</f>
        <v>Only available</v>
      </c>
      <c r="CT67" s="146" t="str">
        <f t="shared" ref="CT67:CT130" si="55">IF(B67="","","No")</f>
        <v>No</v>
      </c>
      <c r="CU67" s="146"/>
    </row>
    <row r="68" spans="1:99" ht="16.399999999999999" customHeight="1" x14ac:dyDescent="0.35">
      <c r="A68" s="145" t="str">
        <f t="shared" si="28"/>
        <v>Leeds Building Society</v>
      </c>
      <c r="B68" s="145" t="str">
        <f>_xlfn.IFNA(_xlfn.CONCAT(INDEX(Producer!$P:$P,MATCH($D68,Producer!$A:$A,0))," ",IF(INDEX(Producer!$N:$N,MATCH($D68,Producer!$A:$A,0))="Yes","Green ",""),IF(AND(INDEX(Producer!$L:$L,MATCH($D68,Producer!$A:$A,0))="No",INDEX(Producer!$C:$C,MATCH($D68,Producer!$A:$A,0))="Fixed"),"Flexit ",""),INDEX(Producer!$B:$B,MATCH($D68,Producer!$A:$A,0))," Year ",INDEX(Producer!$C:$C,MATCH($D68,Producer!$A:$A,0))," ",VALUE(INDEX(Producer!$E:$E,MATCH($D68,Producer!$A:$A,0)))*100,"% LTV",IF(INDEX(Producer!$N:$N,MATCH($D68,Producer!$A:$A,0))="Yes"," (EPC A-C)","")," - ",IF(INDEX(Producer!$D:$D,MATCH($D68,Producer!$A:$A,0))="DLY","Daily","Annual")),"")</f>
        <v>Help to Buy 2 Year Fixed 85% LTV - Daily</v>
      </c>
      <c r="C68" s="146" t="str">
        <f>_xlfn.IFNA(INDEX(Producer!$Q:$Q,MATCH($D68,Producer!$A:$A,0)),"")</f>
        <v>Residential</v>
      </c>
      <c r="D68" s="146">
        <f>IFERROR(VALUE(MID(Producer!$R$2,IF($D67="",1/0,FIND(_xlfn.CONCAT($D66,$D67),Producer!$R$2)+10),5)),"")</f>
        <v>54313</v>
      </c>
      <c r="E68" s="146" t="str">
        <f t="shared" si="29"/>
        <v>Stepped Fixed</v>
      </c>
      <c r="F68" s="146"/>
      <c r="G68" s="147">
        <f>_xlfn.IFNA(VALUE(INDEX(Producer!$F:$F,MATCH($D68,Producer!$A:$A,0)))*100,"")</f>
        <v>5.54</v>
      </c>
      <c r="H68" s="216">
        <f>_xlfn.IFNA(IFERROR(DATEVALUE(INDEX(Producer!$M:$M,MATCH($D68,Producer!$A:$A,0))),(INDEX(Producer!$M:$M,MATCH($D68,Producer!$A:$A,0)))),"")</f>
        <v>46418</v>
      </c>
      <c r="I68" s="217">
        <f>_xlfn.IFNA(VALUE(INDEX(Producer!$B:$B,MATCH($D68,Producer!$A:$A,0)))*12,"")</f>
        <v>24</v>
      </c>
      <c r="J68" s="146">
        <f>_xlfn.IFNA(IF(C68="Residential",IF(VALUE(INDEX(Producer!$B:$B,MATCH($D68,Producer!$A:$A,0)))&lt;5,Constants!$C$10,""),IF(VALUE(INDEX(Producer!$B:$B,MATCH($D68,Producer!$A:$A,0)))&lt;5,Constants!$C$11,"")),"")</f>
        <v>7.49</v>
      </c>
      <c r="K68" s="216">
        <f>_xlfn.IFNA(IF(($I68)&lt;60,DATE(YEAR(H68)+(5-VALUE(INDEX(Producer!$B:$B,MATCH($D68,Producer!$A:$A,0)))),MONTH(H68),DAY(H68)),""),"")</f>
        <v>47514</v>
      </c>
      <c r="L68" s="153">
        <f t="shared" si="30"/>
        <v>36</v>
      </c>
      <c r="M68" s="146"/>
      <c r="N68" s="148"/>
      <c r="O68" s="148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>
        <f>IF(D68="","",IF(C68="Residential",Constants!$B$10,Constants!$B$11))</f>
        <v>8.24</v>
      </c>
      <c r="AL68" s="146" t="str">
        <f t="shared" si="31"/>
        <v>SVR</v>
      </c>
      <c r="AM68" s="206" t="str">
        <f t="shared" si="32"/>
        <v/>
      </c>
      <c r="AN68" s="146">
        <f t="shared" si="33"/>
        <v>10</v>
      </c>
      <c r="AO68" s="149" t="str">
        <f t="shared" si="34"/>
        <v>Remortgage</v>
      </c>
      <c r="AP68" s="150" t="str">
        <f t="shared" si="35"/>
        <v>ProductTransfer</v>
      </c>
      <c r="AQ68" s="146">
        <f>IFERROR(_xlfn.IFNA(IF($BA68="No",0,IF(INDEX(Constants!B:B,MATCH(($I68/12),Constants!$A:$A,0))=0,0,INDEX(Constants!B:B,MATCH(($I68/12),Constants!$A:$A,0)))),0),"")</f>
        <v>2.5</v>
      </c>
      <c r="AR68" s="146">
        <f>IFERROR(_xlfn.IFNA(IF($BA68="No",0,IF(INDEX(Constants!C:C,MATCH(($I68/12),Constants!$A:$A,0))=0,0,INDEX(Constants!C:C,MATCH(($I68/12),Constants!$A:$A,0)))),0),"")</f>
        <v>1.5</v>
      </c>
      <c r="AS68" s="146">
        <f>IFERROR(_xlfn.IFNA(IF($BA68="No",0,IF(INDEX(Constants!D:D,MATCH(($I68/12),Constants!$A:$A,0))=0,0,INDEX(Constants!D:D,MATCH(($I68/12),Constants!$A:$A,0)))),0),"")</f>
        <v>0</v>
      </c>
      <c r="AT68" s="146">
        <f>IFERROR(_xlfn.IFNA(IF($BA68="No",0,IF(INDEX(Constants!E:E,MATCH(($I68/12),Constants!$A:$A,0))=0,0,INDEX(Constants!E:E,MATCH(($I68/12),Constants!$A:$A,0)))),0),"")</f>
        <v>0</v>
      </c>
      <c r="AU68" s="146">
        <f>IFERROR(_xlfn.IFNA(IF($BA68="No",0,IF(INDEX(Constants!F:F,MATCH(($I68/12),Constants!$A:$A,0))=0,0,INDEX(Constants!F:F,MATCH(($I68/12),Constants!$A:$A,0)))),0),"")</f>
        <v>0</v>
      </c>
      <c r="AV68" s="146">
        <f>IFERROR(_xlfn.IFNA(IF($BA68="No",0,IF(INDEX(Constants!G:G,MATCH(($I68/12),Constants!$A:$A,0))=0,0,INDEX(Constants!G:G,MATCH(($I68/12),Constants!$A:$A,0)))),0),"")</f>
        <v>0</v>
      </c>
      <c r="AW68" s="146">
        <f>IFERROR(_xlfn.IFNA(IF($BA68="No",0,IF(INDEX(Constants!H:H,MATCH(($I68/12),Constants!$A:$A,0))=0,0,INDEX(Constants!H:H,MATCH(($I68/12),Constants!$A:$A,0)))),0),"")</f>
        <v>0</v>
      </c>
      <c r="AX68" s="146">
        <f>IFERROR(_xlfn.IFNA(IF($BA68="No",0,IF(INDEX(Constants!I:I,MATCH(($I68/12),Constants!$A:$A,0))=0,0,INDEX(Constants!I:I,MATCH(($I68/12),Constants!$A:$A,0)))),0),"")</f>
        <v>0</v>
      </c>
      <c r="AY68" s="146">
        <f>IFERROR(_xlfn.IFNA(IF($BA68="No",0,IF(INDEX(Constants!J:J,MATCH(($I68/12),Constants!$A:$A,0))=0,0,INDEX(Constants!J:J,MATCH(($I68/12),Constants!$A:$A,0)))),0),"")</f>
        <v>0</v>
      </c>
      <c r="AZ68" s="146">
        <f>IFERROR(_xlfn.IFNA(IF($BA68="No",0,IF(INDEX(Constants!K:K,MATCH(($I68/12),Constants!$A:$A,0))=0,0,INDEX(Constants!K:K,MATCH(($I68/12),Constants!$A:$A,0)))),0),"")</f>
        <v>0</v>
      </c>
      <c r="BA68" s="147" t="str">
        <f>_xlfn.IFNA(INDEX(Producer!$L:$L,MATCH($D68,Producer!$A:$A,0)),"")</f>
        <v>Yes</v>
      </c>
      <c r="BB68" s="146" t="str">
        <f>IFERROR(IF(AQ68=0,"",IF(($I68/12)=15,_xlfn.CONCAT(Constants!$N$7,TEXT(DATE(YEAR(H68)-(($I68/12)-3),MONTH(H68),DAY(H68)),"dd/mm/yyyy"),", ",Constants!$P$7,TEXT(DATE(YEAR(H68)-(($I68/12)-8),MONTH(H68),DAY(H68)),"dd/mm/yyyy"),", ",Constants!$T$7,TEXT(DATE(YEAR(H68)-(($I68/12)-11),MONTH(H68),DAY(H68)),"dd/mm/yyyy"),", ",Constants!$V$7,TEXT(DATE(YEAR(H68)-(($I68/12)-13),MONTH(H68),DAY(H68)),"dd/mm/yyyy"),", ",Constants!$W$7,TEXT($H68,"dd/mm/yyyy")),IF(($I68/12)=10,_xlfn.CONCAT(Constants!$N$6,TEXT(DATE(YEAR(H68)-(($I68/12)-2),MONTH(H68),DAY(H68)),"dd/mm/yyyy"),", ",Constants!$P$6,TEXT(DATE(YEAR(H68)-(($I68/12)-6),MONTH(H68),DAY(H68)),"dd/mm/yyyy"),", ",Constants!$T$6,TEXT(DATE(YEAR(H68)-(($I68/12)-8),MONTH(H68),DAY(H68)),"dd/mm/yyyy"),", ",Constants!$V$6,TEXT(DATE(YEAR(H68)-(($I68/12)-9),MONTH(H68),DAY(H68)),"dd/mm/yyyy"),", ",Constants!$W$6,TEXT($H68,"dd/mm/yyyy")),IF(($I68/12)=5,_xlfn.CONCAT(Constants!$N$5,TEXT(DATE(YEAR(H68)-(($I68/12)-1),MONTH(H68),DAY(H68)),"dd/mm/yyyy"),", ",Constants!$O$5,TEXT(DATE(YEAR(H68)-(($I68/12)-2),MONTH(H68),DAY(H68)),"dd/mm/yyyy"),", ",Constants!$P$5,TEXT(DATE(YEAR(H68)-(($I68/12)-3),MONTH(H68),DAY(H68)),"dd/mm/yyyy"),", ",Constants!$Q$5,TEXT(DATE(YEAR(H68)-(($I68/12)-4),MONTH(H68),DAY(H68)),"dd/mm/yyyy"),", ",Constants!$R$5,TEXT($H68,"dd/mm/yyyy")),IF(($I68/12)=3,_xlfn.CONCAT(Constants!$N$4,TEXT(DATE(YEAR(H68)-(($I68/12)-1),MONTH(H68),DAY(H68)),"dd/mm/yyyy"),", ",Constants!$O$4,TEXT(DATE(YEAR(H68)-(($I68/12)-2),MONTH(H68),DAY(H68)),"dd/mm/yyyy"),", ",Constants!$P$4,TEXT($H68,"dd/mm/yyyy")),IF(($I68/12)=2,_xlfn.CONCAT(Constants!$N$3,TEXT(DATE(YEAR(H68)-(($I68/12)-1),MONTH(H68),DAY(H68)),"dd/mm/yyyy"),", ",Constants!$O$3,TEXT($H68,"dd/mm/yyyy")),IF(($I68/12)=1,_xlfn.CONCAT(Constants!$N$2,TEXT($H68,"dd/mm/yyyy")),"Update Constants"))))))),"")</f>
        <v>2.5% to 31/01/2026, 1.5% to 31/01/2027</v>
      </c>
      <c r="BC68" s="147">
        <f>_xlfn.IFNA(VALUE(INDEX(Producer!$K:$K,MATCH($D68,Producer!$A:$A,0))),"")</f>
        <v>0</v>
      </c>
      <c r="BD68" s="147" t="str">
        <f>_xlfn.IFNA(INDEX(Producer!$I:$I,MATCH($D68,Producer!$A:$A,0)),"")</f>
        <v>No</v>
      </c>
      <c r="BE68" s="147" t="str">
        <f t="shared" si="36"/>
        <v>Yes</v>
      </c>
      <c r="BF68" s="147"/>
      <c r="BG68" s="147"/>
      <c r="BH68" s="151">
        <f>_xlfn.IFNA(INDEX(Constants!$B:$B,MATCH(BC68,Constants!A:A,0)),"")</f>
        <v>0</v>
      </c>
      <c r="BI68" s="147">
        <f>IF(LEFT(B68,15)="Limited Company",Constants!$D$16,IFERROR(_xlfn.IFNA(IF(C68="Residential",IF(BK68&lt;75,INDEX(Constants!$B:$B,MATCH(VALUE(60)/100,Constants!$A:$A,0)),INDEX(Constants!$B:$B,MATCH(VALUE(BK68)/100,Constants!$A:$A,0))),IF(BK68&lt;60,INDEX(Constants!$C:$C,MATCH(VALUE(60)/100,Constants!$A:$A,0)),INDEX(Constants!$C:$C,MATCH(VALUE(BK68)/100,Constants!$A:$A,0)))),""),""))</f>
        <v>2000000</v>
      </c>
      <c r="BJ68" s="147">
        <f t="shared" si="37"/>
        <v>0</v>
      </c>
      <c r="BK68" s="147">
        <f>_xlfn.IFNA(VALUE(INDEX(Producer!$E:$E,MATCH($D68,Producer!$A:$A,0)))*100,"")</f>
        <v>85</v>
      </c>
      <c r="BL68" s="146" t="str">
        <f>_xlfn.IFNA(IF(IFERROR(FIND("Part &amp; Part",B68),-10)&gt;0,"PP",IF(OR(LEFT(B68,25)="Residential Interest Only",INDEX(Producer!$P:$P,MATCH($D68,Producer!$A:$A,0))="IO",INDEX(Producer!$P:$P,MATCH($D68,Producer!$A:$A,0))="Retirement Interest Only"),"IO",IF($C68="BuyToLet","CI, IO","CI"))),"")</f>
        <v>CI</v>
      </c>
      <c r="BM68" s="152" t="str">
        <f>_xlfn.IFNA(IF(BL68="IO",100%,IF(AND(INDEX(Producer!$P:$P,MATCH($D68,Producer!$A:$A,0))="Residential Interest Only Part &amp; Part",BK68=75),80%,IF(C68="BuyToLet",100%,IF(BL68="Interest Only",100%,IF(AND(INDEX(Producer!$P:$P,MATCH($D68,Producer!$A:$A,0))="Residential Interest Only Part &amp; Part",BK68=60),100%,""))))),"")</f>
        <v/>
      </c>
      <c r="BN68" s="218" t="str">
        <f>_xlfn.IFNA(IF(VALUE(INDEX(Producer!$H:$H,MATCH($D68,Producer!$A:$A,0)))=0,"",VALUE(INDEX(Producer!$H:$H,MATCH($D68,Producer!$A:$A,0)))),"")</f>
        <v/>
      </c>
      <c r="BO68" s="153"/>
      <c r="BP68" s="153"/>
      <c r="BQ68" s="219">
        <f t="shared" si="38"/>
        <v>35</v>
      </c>
      <c r="BR68" s="146"/>
      <c r="BS68" s="146"/>
      <c r="BT68" s="146"/>
      <c r="BU68" s="146"/>
      <c r="BV68" s="219">
        <f t="shared" si="39"/>
        <v>199</v>
      </c>
      <c r="BW68" s="146"/>
      <c r="BX68" s="146"/>
      <c r="BY68" s="146" t="str">
        <f t="shared" si="40"/>
        <v>No</v>
      </c>
      <c r="BZ68" s="146" t="str">
        <f t="shared" si="41"/>
        <v>No</v>
      </c>
      <c r="CA68" s="146" t="str">
        <f t="shared" si="42"/>
        <v>No</v>
      </c>
      <c r="CB68" s="146" t="str">
        <f t="shared" si="43"/>
        <v>No</v>
      </c>
      <c r="CC68" s="146" t="str">
        <f>_xlfn.IFNA(IF(INDEX(Producer!$P:$P,MATCH($D68,Producer!$A:$A,0))="Help to Buy","Only available","No"),"")</f>
        <v>Only available</v>
      </c>
      <c r="CD68" s="146" t="str">
        <f>_xlfn.IFNA(IF(INDEX(Producer!$P:$P,MATCH($D68,Producer!$A:$A,0))="Shared Ownership","Only available","No"),"")</f>
        <v>No</v>
      </c>
      <c r="CE68" s="146" t="str">
        <f>_xlfn.IFNA(IF(INDEX(Producer!$P:$P,MATCH($D68,Producer!$A:$A,0))="Right to Buy","Only available","No"),"")</f>
        <v>No</v>
      </c>
      <c r="CF68" s="146" t="str">
        <f t="shared" si="44"/>
        <v>No</v>
      </c>
      <c r="CG68" s="146" t="str">
        <f>_xlfn.IFNA(IF(INDEX(Producer!$P:$P,MATCH($D68,Producer!$A:$A,0))="Retirement Interest Only","Only available","No"),"")</f>
        <v>No</v>
      </c>
      <c r="CH68" s="146" t="str">
        <f t="shared" si="45"/>
        <v>No</v>
      </c>
      <c r="CI68" s="146" t="str">
        <f>_xlfn.IFNA(IF(INDEX(Producer!$P:$P,MATCH($D68,Producer!$A:$A,0))="Intermediary Holiday Let","Only available","No"),"")</f>
        <v>No</v>
      </c>
      <c r="CJ68" s="146" t="str">
        <f t="shared" si="46"/>
        <v>No</v>
      </c>
      <c r="CK68" s="146" t="str">
        <f>_xlfn.IFNA(IF(OR(INDEX(Producer!$P:$P,MATCH($D68,Producer!$A:$A,0))="Intermediary Small HMO",INDEX(Producer!$P:$P,MATCH($D68,Producer!$A:$A,0))="Intermediary Large HMO"),"Only available","No"),"")</f>
        <v>No</v>
      </c>
      <c r="CL68" s="146" t="str">
        <f t="shared" si="47"/>
        <v>No</v>
      </c>
      <c r="CM68" s="146" t="str">
        <f t="shared" si="48"/>
        <v>No</v>
      </c>
      <c r="CN68" s="146" t="str">
        <f t="shared" si="49"/>
        <v>No</v>
      </c>
      <c r="CO68" s="146" t="str">
        <f t="shared" si="50"/>
        <v>Also available</v>
      </c>
      <c r="CP68" s="146" t="str">
        <f t="shared" si="51"/>
        <v>No</v>
      </c>
      <c r="CQ68" s="146" t="str">
        <f t="shared" si="52"/>
        <v>No</v>
      </c>
      <c r="CR68" s="146" t="str">
        <f t="shared" si="53"/>
        <v>Also available</v>
      </c>
      <c r="CS68" s="146" t="str">
        <f t="shared" si="54"/>
        <v>Only available</v>
      </c>
      <c r="CT68" s="146" t="str">
        <f t="shared" si="55"/>
        <v>No</v>
      </c>
      <c r="CU68" s="146"/>
    </row>
    <row r="69" spans="1:99" ht="16.399999999999999" customHeight="1" x14ac:dyDescent="0.35">
      <c r="A69" s="145" t="str">
        <f t="shared" si="28"/>
        <v>Leeds Building Society</v>
      </c>
      <c r="B69" s="145" t="str">
        <f>_xlfn.IFNA(_xlfn.CONCAT(INDEX(Producer!$P:$P,MATCH($D69,Producer!$A:$A,0))," ",IF(INDEX(Producer!$N:$N,MATCH($D69,Producer!$A:$A,0))="Yes","Green ",""),IF(AND(INDEX(Producer!$L:$L,MATCH($D69,Producer!$A:$A,0))="No",INDEX(Producer!$C:$C,MATCH($D69,Producer!$A:$A,0))="Fixed"),"Flexit ",""),INDEX(Producer!$B:$B,MATCH($D69,Producer!$A:$A,0))," Year ",INDEX(Producer!$C:$C,MATCH($D69,Producer!$A:$A,0))," ",VALUE(INDEX(Producer!$E:$E,MATCH($D69,Producer!$A:$A,0)))*100,"% LTV",IF(INDEX(Producer!$N:$N,MATCH($D69,Producer!$A:$A,0))="Yes"," (EPC A-C)","")," - ",IF(INDEX(Producer!$D:$D,MATCH($D69,Producer!$A:$A,0))="DLY","Daily","Annual")),"")</f>
        <v>Retirement Interest Only 2 Year Fixed 55% LTV - Daily</v>
      </c>
      <c r="C69" s="146" t="str">
        <f>_xlfn.IFNA(INDEX(Producer!$Q:$Q,MATCH($D69,Producer!$A:$A,0)),"")</f>
        <v>Residential</v>
      </c>
      <c r="D69" s="146">
        <f>IFERROR(VALUE(MID(Producer!$R$2,IF($D68="",1/0,FIND(_xlfn.CONCAT($D67,$D68),Producer!$R$2)+10),5)),"")</f>
        <v>54201</v>
      </c>
      <c r="E69" s="146" t="str">
        <f t="shared" si="29"/>
        <v>Stepped Fixed</v>
      </c>
      <c r="F69" s="146"/>
      <c r="G69" s="147">
        <f>_xlfn.IFNA(VALUE(INDEX(Producer!$F:$F,MATCH($D69,Producer!$A:$A,0)))*100,"")</f>
        <v>5.0999999999999996</v>
      </c>
      <c r="H69" s="216">
        <f>_xlfn.IFNA(IFERROR(DATEVALUE(INDEX(Producer!$M:$M,MATCH($D69,Producer!$A:$A,0))),(INDEX(Producer!$M:$M,MATCH($D69,Producer!$A:$A,0)))),"")</f>
        <v>46418</v>
      </c>
      <c r="I69" s="217">
        <f>_xlfn.IFNA(VALUE(INDEX(Producer!$B:$B,MATCH($D69,Producer!$A:$A,0)))*12,"")</f>
        <v>24</v>
      </c>
      <c r="J69" s="146">
        <f>_xlfn.IFNA(IF(C69="Residential",IF(VALUE(INDEX(Producer!$B:$B,MATCH($D69,Producer!$A:$A,0)))&lt;5,Constants!$C$10,""),IF(VALUE(INDEX(Producer!$B:$B,MATCH($D69,Producer!$A:$A,0)))&lt;5,Constants!$C$11,"")),"")</f>
        <v>7.49</v>
      </c>
      <c r="K69" s="216">
        <f>_xlfn.IFNA(IF(($I69)&lt;60,DATE(YEAR(H69)+(5-VALUE(INDEX(Producer!$B:$B,MATCH($D69,Producer!$A:$A,0)))),MONTH(H69),DAY(H69)),""),"")</f>
        <v>47514</v>
      </c>
      <c r="L69" s="153">
        <f t="shared" si="30"/>
        <v>36</v>
      </c>
      <c r="M69" s="146"/>
      <c r="N69" s="148"/>
      <c r="O69" s="148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>
        <f>IF(D69="","",IF(C69="Residential",Constants!$B$10,Constants!$B$11))</f>
        <v>8.24</v>
      </c>
      <c r="AL69" s="146" t="str">
        <f t="shared" si="31"/>
        <v>SVR</v>
      </c>
      <c r="AM69" s="206" t="str">
        <f t="shared" si="32"/>
        <v/>
      </c>
      <c r="AN69" s="146">
        <f t="shared" si="33"/>
        <v>10</v>
      </c>
      <c r="AO69" s="149" t="str">
        <f t="shared" si="34"/>
        <v>Remortgage</v>
      </c>
      <c r="AP69" s="150" t="str">
        <f t="shared" si="35"/>
        <v>ProductTransfer</v>
      </c>
      <c r="AQ69" s="146">
        <f>IFERROR(_xlfn.IFNA(IF($BA69="No",0,IF(INDEX(Constants!B:B,MATCH(($I69/12),Constants!$A:$A,0))=0,0,INDEX(Constants!B:B,MATCH(($I69/12),Constants!$A:$A,0)))),0),"")</f>
        <v>2.5</v>
      </c>
      <c r="AR69" s="146">
        <f>IFERROR(_xlfn.IFNA(IF($BA69="No",0,IF(INDEX(Constants!C:C,MATCH(($I69/12),Constants!$A:$A,0))=0,0,INDEX(Constants!C:C,MATCH(($I69/12),Constants!$A:$A,0)))),0),"")</f>
        <v>1.5</v>
      </c>
      <c r="AS69" s="146">
        <f>IFERROR(_xlfn.IFNA(IF($BA69="No",0,IF(INDEX(Constants!D:D,MATCH(($I69/12),Constants!$A:$A,0))=0,0,INDEX(Constants!D:D,MATCH(($I69/12),Constants!$A:$A,0)))),0),"")</f>
        <v>0</v>
      </c>
      <c r="AT69" s="146">
        <f>IFERROR(_xlfn.IFNA(IF($BA69="No",0,IF(INDEX(Constants!E:E,MATCH(($I69/12),Constants!$A:$A,0))=0,0,INDEX(Constants!E:E,MATCH(($I69/12),Constants!$A:$A,0)))),0),"")</f>
        <v>0</v>
      </c>
      <c r="AU69" s="146">
        <f>IFERROR(_xlfn.IFNA(IF($BA69="No",0,IF(INDEX(Constants!F:F,MATCH(($I69/12),Constants!$A:$A,0))=0,0,INDEX(Constants!F:F,MATCH(($I69/12),Constants!$A:$A,0)))),0),"")</f>
        <v>0</v>
      </c>
      <c r="AV69" s="146">
        <f>IFERROR(_xlfn.IFNA(IF($BA69="No",0,IF(INDEX(Constants!G:G,MATCH(($I69/12),Constants!$A:$A,0))=0,0,INDEX(Constants!G:G,MATCH(($I69/12),Constants!$A:$A,0)))),0),"")</f>
        <v>0</v>
      </c>
      <c r="AW69" s="146">
        <f>IFERROR(_xlfn.IFNA(IF($BA69="No",0,IF(INDEX(Constants!H:H,MATCH(($I69/12),Constants!$A:$A,0))=0,0,INDEX(Constants!H:H,MATCH(($I69/12),Constants!$A:$A,0)))),0),"")</f>
        <v>0</v>
      </c>
      <c r="AX69" s="146">
        <f>IFERROR(_xlfn.IFNA(IF($BA69="No",0,IF(INDEX(Constants!I:I,MATCH(($I69/12),Constants!$A:$A,0))=0,0,INDEX(Constants!I:I,MATCH(($I69/12),Constants!$A:$A,0)))),0),"")</f>
        <v>0</v>
      </c>
      <c r="AY69" s="146">
        <f>IFERROR(_xlfn.IFNA(IF($BA69="No",0,IF(INDEX(Constants!J:J,MATCH(($I69/12),Constants!$A:$A,0))=0,0,INDEX(Constants!J:J,MATCH(($I69/12),Constants!$A:$A,0)))),0),"")</f>
        <v>0</v>
      </c>
      <c r="AZ69" s="146">
        <f>IFERROR(_xlfn.IFNA(IF($BA69="No",0,IF(INDEX(Constants!K:K,MATCH(($I69/12),Constants!$A:$A,0))=0,0,INDEX(Constants!K:K,MATCH(($I69/12),Constants!$A:$A,0)))),0),"")</f>
        <v>0</v>
      </c>
      <c r="BA69" s="147" t="str">
        <f>_xlfn.IFNA(INDEX(Producer!$L:$L,MATCH($D69,Producer!$A:$A,0)),"")</f>
        <v>Yes</v>
      </c>
      <c r="BB69" s="146" t="str">
        <f>IFERROR(IF(AQ69=0,"",IF(($I69/12)=15,_xlfn.CONCAT(Constants!$N$7,TEXT(DATE(YEAR(H69)-(($I69/12)-3),MONTH(H69),DAY(H69)),"dd/mm/yyyy"),", ",Constants!$P$7,TEXT(DATE(YEAR(H69)-(($I69/12)-8),MONTH(H69),DAY(H69)),"dd/mm/yyyy"),", ",Constants!$T$7,TEXT(DATE(YEAR(H69)-(($I69/12)-11),MONTH(H69),DAY(H69)),"dd/mm/yyyy"),", ",Constants!$V$7,TEXT(DATE(YEAR(H69)-(($I69/12)-13),MONTH(H69),DAY(H69)),"dd/mm/yyyy"),", ",Constants!$W$7,TEXT($H69,"dd/mm/yyyy")),IF(($I69/12)=10,_xlfn.CONCAT(Constants!$N$6,TEXT(DATE(YEAR(H69)-(($I69/12)-2),MONTH(H69),DAY(H69)),"dd/mm/yyyy"),", ",Constants!$P$6,TEXT(DATE(YEAR(H69)-(($I69/12)-6),MONTH(H69),DAY(H69)),"dd/mm/yyyy"),", ",Constants!$T$6,TEXT(DATE(YEAR(H69)-(($I69/12)-8),MONTH(H69),DAY(H69)),"dd/mm/yyyy"),", ",Constants!$V$6,TEXT(DATE(YEAR(H69)-(($I69/12)-9),MONTH(H69),DAY(H69)),"dd/mm/yyyy"),", ",Constants!$W$6,TEXT($H69,"dd/mm/yyyy")),IF(($I69/12)=5,_xlfn.CONCAT(Constants!$N$5,TEXT(DATE(YEAR(H69)-(($I69/12)-1),MONTH(H69),DAY(H69)),"dd/mm/yyyy"),", ",Constants!$O$5,TEXT(DATE(YEAR(H69)-(($I69/12)-2),MONTH(H69),DAY(H69)),"dd/mm/yyyy"),", ",Constants!$P$5,TEXT(DATE(YEAR(H69)-(($I69/12)-3),MONTH(H69),DAY(H69)),"dd/mm/yyyy"),", ",Constants!$Q$5,TEXT(DATE(YEAR(H69)-(($I69/12)-4),MONTH(H69),DAY(H69)),"dd/mm/yyyy"),", ",Constants!$R$5,TEXT($H69,"dd/mm/yyyy")),IF(($I69/12)=3,_xlfn.CONCAT(Constants!$N$4,TEXT(DATE(YEAR(H69)-(($I69/12)-1),MONTH(H69),DAY(H69)),"dd/mm/yyyy"),", ",Constants!$O$4,TEXT(DATE(YEAR(H69)-(($I69/12)-2),MONTH(H69),DAY(H69)),"dd/mm/yyyy"),", ",Constants!$P$4,TEXT($H69,"dd/mm/yyyy")),IF(($I69/12)=2,_xlfn.CONCAT(Constants!$N$3,TEXT(DATE(YEAR(H69)-(($I69/12)-1),MONTH(H69),DAY(H69)),"dd/mm/yyyy"),", ",Constants!$O$3,TEXT($H69,"dd/mm/yyyy")),IF(($I69/12)=1,_xlfn.CONCAT(Constants!$N$2,TEXT($H69,"dd/mm/yyyy")),"Update Constants"))))))),"")</f>
        <v>2.5% to 31/01/2026, 1.5% to 31/01/2027</v>
      </c>
      <c r="BC69" s="147">
        <f>_xlfn.IFNA(VALUE(INDEX(Producer!$K:$K,MATCH($D69,Producer!$A:$A,0))),"")</f>
        <v>0</v>
      </c>
      <c r="BD69" s="147" t="str">
        <f>_xlfn.IFNA(INDEX(Producer!$I:$I,MATCH($D69,Producer!$A:$A,0)),"")</f>
        <v>No</v>
      </c>
      <c r="BE69" s="147" t="str">
        <f t="shared" si="36"/>
        <v>Yes</v>
      </c>
      <c r="BF69" s="147"/>
      <c r="BG69" s="147"/>
      <c r="BH69" s="151">
        <f>_xlfn.IFNA(INDEX(Constants!$B:$B,MATCH(BC69,Constants!A:A,0)),"")</f>
        <v>0</v>
      </c>
      <c r="BI69" s="147">
        <f>IF(LEFT(B69,15)="Limited Company",Constants!$D$16,IFERROR(_xlfn.IFNA(IF(C69="Residential",IF(BK69&lt;75,INDEX(Constants!$B:$B,MATCH(VALUE(60)/100,Constants!$A:$A,0)),INDEX(Constants!$B:$B,MATCH(VALUE(BK69)/100,Constants!$A:$A,0))),IF(BK69&lt;60,INDEX(Constants!$C:$C,MATCH(VALUE(60)/100,Constants!$A:$A,0)),INDEX(Constants!$C:$C,MATCH(VALUE(BK69)/100,Constants!$A:$A,0)))),""),""))</f>
        <v>2000000</v>
      </c>
      <c r="BJ69" s="147">
        <f t="shared" si="37"/>
        <v>0</v>
      </c>
      <c r="BK69" s="147">
        <f>_xlfn.IFNA(VALUE(INDEX(Producer!$E:$E,MATCH($D69,Producer!$A:$A,0)))*100,"")</f>
        <v>55.000000000000007</v>
      </c>
      <c r="BL69" s="146" t="str">
        <f>_xlfn.IFNA(IF(IFERROR(FIND("Part &amp; Part",B69),-10)&gt;0,"PP",IF(OR(LEFT(B69,25)="Residential Interest Only",INDEX(Producer!$P:$P,MATCH($D69,Producer!$A:$A,0))="IO",INDEX(Producer!$P:$P,MATCH($D69,Producer!$A:$A,0))="Retirement Interest Only"),"IO",IF($C69="BuyToLet","CI, IO","CI"))),"")</f>
        <v>IO</v>
      </c>
      <c r="BM69" s="152">
        <f>_xlfn.IFNA(IF(BL69="IO",100%,IF(AND(INDEX(Producer!$P:$P,MATCH($D69,Producer!$A:$A,0))="Residential Interest Only Part &amp; Part",BK69=75),80%,IF(C69="BuyToLet",100%,IF(BL69="Interest Only",100%,IF(AND(INDEX(Producer!$P:$P,MATCH($D69,Producer!$A:$A,0))="Residential Interest Only Part &amp; Part",BK69=60),100%,""))))),"")</f>
        <v>1</v>
      </c>
      <c r="BN69" s="218">
        <f>_xlfn.IFNA(IF(VALUE(INDEX(Producer!$H:$H,MATCH($D69,Producer!$A:$A,0)))=0,"",VALUE(INDEX(Producer!$H:$H,MATCH($D69,Producer!$A:$A,0)))),"")</f>
        <v>999</v>
      </c>
      <c r="BO69" s="153"/>
      <c r="BP69" s="153"/>
      <c r="BQ69" s="219">
        <f t="shared" si="38"/>
        <v>35</v>
      </c>
      <c r="BR69" s="146"/>
      <c r="BS69" s="146"/>
      <c r="BT69" s="146"/>
      <c r="BU69" s="146"/>
      <c r="BV69" s="219">
        <f t="shared" si="39"/>
        <v>199</v>
      </c>
      <c r="BW69" s="146"/>
      <c r="BX69" s="146"/>
      <c r="BY69" s="146" t="str">
        <f t="shared" si="40"/>
        <v>No</v>
      </c>
      <c r="BZ69" s="146" t="str">
        <f t="shared" si="41"/>
        <v>No</v>
      </c>
      <c r="CA69" s="146" t="str">
        <f t="shared" si="42"/>
        <v>No</v>
      </c>
      <c r="CB69" s="146" t="str">
        <f t="shared" si="43"/>
        <v>No</v>
      </c>
      <c r="CC69" s="146" t="str">
        <f>_xlfn.IFNA(IF(INDEX(Producer!$P:$P,MATCH($D69,Producer!$A:$A,0))="Help to Buy","Only available","No"),"")</f>
        <v>No</v>
      </c>
      <c r="CD69" s="146" t="str">
        <f>_xlfn.IFNA(IF(INDEX(Producer!$P:$P,MATCH($D69,Producer!$A:$A,0))="Shared Ownership","Only available","No"),"")</f>
        <v>No</v>
      </c>
      <c r="CE69" s="146" t="str">
        <f>_xlfn.IFNA(IF(INDEX(Producer!$P:$P,MATCH($D69,Producer!$A:$A,0))="Right to Buy","Only available","No"),"")</f>
        <v>No</v>
      </c>
      <c r="CF69" s="146" t="str">
        <f t="shared" si="44"/>
        <v>No</v>
      </c>
      <c r="CG69" s="146" t="str">
        <f>_xlfn.IFNA(IF(INDEX(Producer!$P:$P,MATCH($D69,Producer!$A:$A,0))="Retirement Interest Only","Only available","No"),"")</f>
        <v>Only available</v>
      </c>
      <c r="CH69" s="146" t="str">
        <f t="shared" si="45"/>
        <v>No</v>
      </c>
      <c r="CI69" s="146" t="str">
        <f>_xlfn.IFNA(IF(INDEX(Producer!$P:$P,MATCH($D69,Producer!$A:$A,0))="Intermediary Holiday Let","Only available","No"),"")</f>
        <v>No</v>
      </c>
      <c r="CJ69" s="146" t="str">
        <f t="shared" si="46"/>
        <v>No</v>
      </c>
      <c r="CK69" s="146" t="str">
        <f>_xlfn.IFNA(IF(OR(INDEX(Producer!$P:$P,MATCH($D69,Producer!$A:$A,0))="Intermediary Small HMO",INDEX(Producer!$P:$P,MATCH($D69,Producer!$A:$A,0))="Intermediary Large HMO"),"Only available","No"),"")</f>
        <v>No</v>
      </c>
      <c r="CL69" s="146" t="str">
        <f t="shared" si="47"/>
        <v>No</v>
      </c>
      <c r="CM69" s="146" t="str">
        <f t="shared" si="48"/>
        <v>No</v>
      </c>
      <c r="CN69" s="146" t="str">
        <f t="shared" si="49"/>
        <v>No</v>
      </c>
      <c r="CO69" s="146" t="str">
        <f t="shared" si="50"/>
        <v>Also available</v>
      </c>
      <c r="CP69" s="146" t="str">
        <f t="shared" si="51"/>
        <v>No</v>
      </c>
      <c r="CQ69" s="146" t="str">
        <f t="shared" si="52"/>
        <v>No</v>
      </c>
      <c r="CR69" s="146" t="str">
        <f t="shared" si="53"/>
        <v>Also available</v>
      </c>
      <c r="CS69" s="146" t="str">
        <f t="shared" si="54"/>
        <v>Only available</v>
      </c>
      <c r="CT69" s="146" t="str">
        <f t="shared" si="55"/>
        <v>No</v>
      </c>
      <c r="CU69" s="146"/>
    </row>
    <row r="70" spans="1:99" ht="16.399999999999999" customHeight="1" x14ac:dyDescent="0.35">
      <c r="A70" s="145" t="str">
        <f t="shared" si="28"/>
        <v>Leeds Building Society</v>
      </c>
      <c r="B70" s="145" t="str">
        <f>_xlfn.IFNA(_xlfn.CONCAT(INDEX(Producer!$P:$P,MATCH($D70,Producer!$A:$A,0))," ",IF(INDEX(Producer!$N:$N,MATCH($D70,Producer!$A:$A,0))="Yes","Green ",""),IF(AND(INDEX(Producer!$L:$L,MATCH($D70,Producer!$A:$A,0))="No",INDEX(Producer!$C:$C,MATCH($D70,Producer!$A:$A,0))="Fixed"),"Flexit ",""),INDEX(Producer!$B:$B,MATCH($D70,Producer!$A:$A,0))," Year ",INDEX(Producer!$C:$C,MATCH($D70,Producer!$A:$A,0))," ",VALUE(INDEX(Producer!$E:$E,MATCH($D70,Producer!$A:$A,0)))*100,"% LTV",IF(INDEX(Producer!$N:$N,MATCH($D70,Producer!$A:$A,0))="Yes"," (EPC A-C)","")," - ",IF(INDEX(Producer!$D:$D,MATCH($D70,Producer!$A:$A,0))="DLY","Daily","Annual")),"")</f>
        <v>Retirement Interest Only 2 Year Fixed 60% LTV - Daily</v>
      </c>
      <c r="C70" s="146" t="str">
        <f>_xlfn.IFNA(INDEX(Producer!$Q:$Q,MATCH($D70,Producer!$A:$A,0)),"")</f>
        <v>Residential</v>
      </c>
      <c r="D70" s="146">
        <f>IFERROR(VALUE(MID(Producer!$R$2,IF($D69="",1/0,FIND(_xlfn.CONCAT($D68,$D69),Producer!$R$2)+10),5)),"")</f>
        <v>54200</v>
      </c>
      <c r="E70" s="146" t="str">
        <f t="shared" si="29"/>
        <v>Stepped Fixed</v>
      </c>
      <c r="F70" s="146"/>
      <c r="G70" s="147">
        <f>_xlfn.IFNA(VALUE(INDEX(Producer!$F:$F,MATCH($D70,Producer!$A:$A,0)))*100,"")</f>
        <v>5.3900000000000006</v>
      </c>
      <c r="H70" s="216">
        <f>_xlfn.IFNA(IFERROR(DATEVALUE(INDEX(Producer!$M:$M,MATCH($D70,Producer!$A:$A,0))),(INDEX(Producer!$M:$M,MATCH($D70,Producer!$A:$A,0)))),"")</f>
        <v>46418</v>
      </c>
      <c r="I70" s="217">
        <f>_xlfn.IFNA(VALUE(INDEX(Producer!$B:$B,MATCH($D70,Producer!$A:$A,0)))*12,"")</f>
        <v>24</v>
      </c>
      <c r="J70" s="146">
        <f>_xlfn.IFNA(IF(C70="Residential",IF(VALUE(INDEX(Producer!$B:$B,MATCH($D70,Producer!$A:$A,0)))&lt;5,Constants!$C$10,""),IF(VALUE(INDEX(Producer!$B:$B,MATCH($D70,Producer!$A:$A,0)))&lt;5,Constants!$C$11,"")),"")</f>
        <v>7.49</v>
      </c>
      <c r="K70" s="216">
        <f>_xlfn.IFNA(IF(($I70)&lt;60,DATE(YEAR(H70)+(5-VALUE(INDEX(Producer!$B:$B,MATCH($D70,Producer!$A:$A,0)))),MONTH(H70),DAY(H70)),""),"")</f>
        <v>47514</v>
      </c>
      <c r="L70" s="153">
        <f t="shared" si="30"/>
        <v>36</v>
      </c>
      <c r="M70" s="146"/>
      <c r="N70" s="148"/>
      <c r="O70" s="148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>
        <f>IF(D70="","",IF(C70="Residential",Constants!$B$10,Constants!$B$11))</f>
        <v>8.24</v>
      </c>
      <c r="AL70" s="146" t="str">
        <f t="shared" si="31"/>
        <v>SVR</v>
      </c>
      <c r="AM70" s="206" t="str">
        <f t="shared" si="32"/>
        <v/>
      </c>
      <c r="AN70" s="146">
        <f t="shared" si="33"/>
        <v>10</v>
      </c>
      <c r="AO70" s="149" t="str">
        <f t="shared" si="34"/>
        <v>Remortgage</v>
      </c>
      <c r="AP70" s="150" t="str">
        <f t="shared" si="35"/>
        <v>ProductTransfer</v>
      </c>
      <c r="AQ70" s="146">
        <f>IFERROR(_xlfn.IFNA(IF($BA70="No",0,IF(INDEX(Constants!B:B,MATCH(($I70/12),Constants!$A:$A,0))=0,0,INDEX(Constants!B:B,MATCH(($I70/12),Constants!$A:$A,0)))),0),"")</f>
        <v>2.5</v>
      </c>
      <c r="AR70" s="146">
        <f>IFERROR(_xlfn.IFNA(IF($BA70="No",0,IF(INDEX(Constants!C:C,MATCH(($I70/12),Constants!$A:$A,0))=0,0,INDEX(Constants!C:C,MATCH(($I70/12),Constants!$A:$A,0)))),0),"")</f>
        <v>1.5</v>
      </c>
      <c r="AS70" s="146">
        <f>IFERROR(_xlfn.IFNA(IF($BA70="No",0,IF(INDEX(Constants!D:D,MATCH(($I70/12),Constants!$A:$A,0))=0,0,INDEX(Constants!D:D,MATCH(($I70/12),Constants!$A:$A,0)))),0),"")</f>
        <v>0</v>
      </c>
      <c r="AT70" s="146">
        <f>IFERROR(_xlfn.IFNA(IF($BA70="No",0,IF(INDEX(Constants!E:E,MATCH(($I70/12),Constants!$A:$A,0))=0,0,INDEX(Constants!E:E,MATCH(($I70/12),Constants!$A:$A,0)))),0),"")</f>
        <v>0</v>
      </c>
      <c r="AU70" s="146">
        <f>IFERROR(_xlfn.IFNA(IF($BA70="No",0,IF(INDEX(Constants!F:F,MATCH(($I70/12),Constants!$A:$A,0))=0,0,INDEX(Constants!F:F,MATCH(($I70/12),Constants!$A:$A,0)))),0),"")</f>
        <v>0</v>
      </c>
      <c r="AV70" s="146">
        <f>IFERROR(_xlfn.IFNA(IF($BA70="No",0,IF(INDEX(Constants!G:G,MATCH(($I70/12),Constants!$A:$A,0))=0,0,INDEX(Constants!G:G,MATCH(($I70/12),Constants!$A:$A,0)))),0),"")</f>
        <v>0</v>
      </c>
      <c r="AW70" s="146">
        <f>IFERROR(_xlfn.IFNA(IF($BA70="No",0,IF(INDEX(Constants!H:H,MATCH(($I70/12),Constants!$A:$A,0))=0,0,INDEX(Constants!H:H,MATCH(($I70/12),Constants!$A:$A,0)))),0),"")</f>
        <v>0</v>
      </c>
      <c r="AX70" s="146">
        <f>IFERROR(_xlfn.IFNA(IF($BA70="No",0,IF(INDEX(Constants!I:I,MATCH(($I70/12),Constants!$A:$A,0))=0,0,INDEX(Constants!I:I,MATCH(($I70/12),Constants!$A:$A,0)))),0),"")</f>
        <v>0</v>
      </c>
      <c r="AY70" s="146">
        <f>IFERROR(_xlfn.IFNA(IF($BA70="No",0,IF(INDEX(Constants!J:J,MATCH(($I70/12),Constants!$A:$A,0))=0,0,INDEX(Constants!J:J,MATCH(($I70/12),Constants!$A:$A,0)))),0),"")</f>
        <v>0</v>
      </c>
      <c r="AZ70" s="146">
        <f>IFERROR(_xlfn.IFNA(IF($BA70="No",0,IF(INDEX(Constants!K:K,MATCH(($I70/12),Constants!$A:$A,0))=0,0,INDEX(Constants!K:K,MATCH(($I70/12),Constants!$A:$A,0)))),0),"")</f>
        <v>0</v>
      </c>
      <c r="BA70" s="147" t="str">
        <f>_xlfn.IFNA(INDEX(Producer!$L:$L,MATCH($D70,Producer!$A:$A,0)),"")</f>
        <v>Yes</v>
      </c>
      <c r="BB70" s="146" t="str">
        <f>IFERROR(IF(AQ70=0,"",IF(($I70/12)=15,_xlfn.CONCAT(Constants!$N$7,TEXT(DATE(YEAR(H70)-(($I70/12)-3),MONTH(H70),DAY(H70)),"dd/mm/yyyy"),", ",Constants!$P$7,TEXT(DATE(YEAR(H70)-(($I70/12)-8),MONTH(H70),DAY(H70)),"dd/mm/yyyy"),", ",Constants!$T$7,TEXT(DATE(YEAR(H70)-(($I70/12)-11),MONTH(H70),DAY(H70)),"dd/mm/yyyy"),", ",Constants!$V$7,TEXT(DATE(YEAR(H70)-(($I70/12)-13),MONTH(H70),DAY(H70)),"dd/mm/yyyy"),", ",Constants!$W$7,TEXT($H70,"dd/mm/yyyy")),IF(($I70/12)=10,_xlfn.CONCAT(Constants!$N$6,TEXT(DATE(YEAR(H70)-(($I70/12)-2),MONTH(H70),DAY(H70)),"dd/mm/yyyy"),", ",Constants!$P$6,TEXT(DATE(YEAR(H70)-(($I70/12)-6),MONTH(H70),DAY(H70)),"dd/mm/yyyy"),", ",Constants!$T$6,TEXT(DATE(YEAR(H70)-(($I70/12)-8),MONTH(H70),DAY(H70)),"dd/mm/yyyy"),", ",Constants!$V$6,TEXT(DATE(YEAR(H70)-(($I70/12)-9),MONTH(H70),DAY(H70)),"dd/mm/yyyy"),", ",Constants!$W$6,TEXT($H70,"dd/mm/yyyy")),IF(($I70/12)=5,_xlfn.CONCAT(Constants!$N$5,TEXT(DATE(YEAR(H70)-(($I70/12)-1),MONTH(H70),DAY(H70)),"dd/mm/yyyy"),", ",Constants!$O$5,TEXT(DATE(YEAR(H70)-(($I70/12)-2),MONTH(H70),DAY(H70)),"dd/mm/yyyy"),", ",Constants!$P$5,TEXT(DATE(YEAR(H70)-(($I70/12)-3),MONTH(H70),DAY(H70)),"dd/mm/yyyy"),", ",Constants!$Q$5,TEXT(DATE(YEAR(H70)-(($I70/12)-4),MONTH(H70),DAY(H70)),"dd/mm/yyyy"),", ",Constants!$R$5,TEXT($H70,"dd/mm/yyyy")),IF(($I70/12)=3,_xlfn.CONCAT(Constants!$N$4,TEXT(DATE(YEAR(H70)-(($I70/12)-1),MONTH(H70),DAY(H70)),"dd/mm/yyyy"),", ",Constants!$O$4,TEXT(DATE(YEAR(H70)-(($I70/12)-2),MONTH(H70),DAY(H70)),"dd/mm/yyyy"),", ",Constants!$P$4,TEXT($H70,"dd/mm/yyyy")),IF(($I70/12)=2,_xlfn.CONCAT(Constants!$N$3,TEXT(DATE(YEAR(H70)-(($I70/12)-1),MONTH(H70),DAY(H70)),"dd/mm/yyyy"),", ",Constants!$O$3,TEXT($H70,"dd/mm/yyyy")),IF(($I70/12)=1,_xlfn.CONCAT(Constants!$N$2,TEXT($H70,"dd/mm/yyyy")),"Update Constants"))))))),"")</f>
        <v>2.5% to 31/01/2026, 1.5% to 31/01/2027</v>
      </c>
      <c r="BC70" s="147">
        <f>_xlfn.IFNA(VALUE(INDEX(Producer!$K:$K,MATCH($D70,Producer!$A:$A,0))),"")</f>
        <v>0</v>
      </c>
      <c r="BD70" s="147" t="str">
        <f>_xlfn.IFNA(INDEX(Producer!$I:$I,MATCH($D70,Producer!$A:$A,0)),"")</f>
        <v>No</v>
      </c>
      <c r="BE70" s="147" t="str">
        <f t="shared" si="36"/>
        <v>Yes</v>
      </c>
      <c r="BF70" s="147"/>
      <c r="BG70" s="147"/>
      <c r="BH70" s="151">
        <f>_xlfn.IFNA(INDEX(Constants!$B:$B,MATCH(BC70,Constants!A:A,0)),"")</f>
        <v>0</v>
      </c>
      <c r="BI70" s="147">
        <f>IF(LEFT(B70,15)="Limited Company",Constants!$D$16,IFERROR(_xlfn.IFNA(IF(C70="Residential",IF(BK70&lt;75,INDEX(Constants!$B:$B,MATCH(VALUE(60)/100,Constants!$A:$A,0)),INDEX(Constants!$B:$B,MATCH(VALUE(BK70)/100,Constants!$A:$A,0))),IF(BK70&lt;60,INDEX(Constants!$C:$C,MATCH(VALUE(60)/100,Constants!$A:$A,0)),INDEX(Constants!$C:$C,MATCH(VALUE(BK70)/100,Constants!$A:$A,0)))),""),""))</f>
        <v>2000000</v>
      </c>
      <c r="BJ70" s="147">
        <f t="shared" si="37"/>
        <v>0</v>
      </c>
      <c r="BK70" s="147">
        <f>_xlfn.IFNA(VALUE(INDEX(Producer!$E:$E,MATCH($D70,Producer!$A:$A,0)))*100,"")</f>
        <v>60</v>
      </c>
      <c r="BL70" s="146" t="str">
        <f>_xlfn.IFNA(IF(IFERROR(FIND("Part &amp; Part",B70),-10)&gt;0,"PP",IF(OR(LEFT(B70,25)="Residential Interest Only",INDEX(Producer!$P:$P,MATCH($D70,Producer!$A:$A,0))="IO",INDEX(Producer!$P:$P,MATCH($D70,Producer!$A:$A,0))="Retirement Interest Only"),"IO",IF($C70="BuyToLet","CI, IO","CI"))),"")</f>
        <v>IO</v>
      </c>
      <c r="BM70" s="152">
        <f>_xlfn.IFNA(IF(BL70="IO",100%,IF(AND(INDEX(Producer!$P:$P,MATCH($D70,Producer!$A:$A,0))="Residential Interest Only Part &amp; Part",BK70=75),80%,IF(C70="BuyToLet",100%,IF(BL70="Interest Only",100%,IF(AND(INDEX(Producer!$P:$P,MATCH($D70,Producer!$A:$A,0))="Residential Interest Only Part &amp; Part",BK70=60),100%,""))))),"")</f>
        <v>1</v>
      </c>
      <c r="BN70" s="218">
        <f>_xlfn.IFNA(IF(VALUE(INDEX(Producer!$H:$H,MATCH($D70,Producer!$A:$A,0)))=0,"",VALUE(INDEX(Producer!$H:$H,MATCH($D70,Producer!$A:$A,0)))),"")</f>
        <v>999</v>
      </c>
      <c r="BO70" s="153"/>
      <c r="BP70" s="153"/>
      <c r="BQ70" s="219">
        <f t="shared" si="38"/>
        <v>35</v>
      </c>
      <c r="BR70" s="146"/>
      <c r="BS70" s="146"/>
      <c r="BT70" s="146"/>
      <c r="BU70" s="146"/>
      <c r="BV70" s="219">
        <f t="shared" si="39"/>
        <v>199</v>
      </c>
      <c r="BW70" s="146"/>
      <c r="BX70" s="146"/>
      <c r="BY70" s="146" t="str">
        <f t="shared" si="40"/>
        <v>No</v>
      </c>
      <c r="BZ70" s="146" t="str">
        <f t="shared" si="41"/>
        <v>No</v>
      </c>
      <c r="CA70" s="146" t="str">
        <f t="shared" si="42"/>
        <v>No</v>
      </c>
      <c r="CB70" s="146" t="str">
        <f t="shared" si="43"/>
        <v>No</v>
      </c>
      <c r="CC70" s="146" t="str">
        <f>_xlfn.IFNA(IF(INDEX(Producer!$P:$P,MATCH($D70,Producer!$A:$A,0))="Help to Buy","Only available","No"),"")</f>
        <v>No</v>
      </c>
      <c r="CD70" s="146" t="str">
        <f>_xlfn.IFNA(IF(INDEX(Producer!$P:$P,MATCH($D70,Producer!$A:$A,0))="Shared Ownership","Only available","No"),"")</f>
        <v>No</v>
      </c>
      <c r="CE70" s="146" t="str">
        <f>_xlfn.IFNA(IF(INDEX(Producer!$P:$P,MATCH($D70,Producer!$A:$A,0))="Right to Buy","Only available","No"),"")</f>
        <v>No</v>
      </c>
      <c r="CF70" s="146" t="str">
        <f t="shared" si="44"/>
        <v>No</v>
      </c>
      <c r="CG70" s="146" t="str">
        <f>_xlfn.IFNA(IF(INDEX(Producer!$P:$P,MATCH($D70,Producer!$A:$A,0))="Retirement Interest Only","Only available","No"),"")</f>
        <v>Only available</v>
      </c>
      <c r="CH70" s="146" t="str">
        <f t="shared" si="45"/>
        <v>No</v>
      </c>
      <c r="CI70" s="146" t="str">
        <f>_xlfn.IFNA(IF(INDEX(Producer!$P:$P,MATCH($D70,Producer!$A:$A,0))="Intermediary Holiday Let","Only available","No"),"")</f>
        <v>No</v>
      </c>
      <c r="CJ70" s="146" t="str">
        <f t="shared" si="46"/>
        <v>No</v>
      </c>
      <c r="CK70" s="146" t="str">
        <f>_xlfn.IFNA(IF(OR(INDEX(Producer!$P:$P,MATCH($D70,Producer!$A:$A,0))="Intermediary Small HMO",INDEX(Producer!$P:$P,MATCH($D70,Producer!$A:$A,0))="Intermediary Large HMO"),"Only available","No"),"")</f>
        <v>No</v>
      </c>
      <c r="CL70" s="146" t="str">
        <f t="shared" si="47"/>
        <v>No</v>
      </c>
      <c r="CM70" s="146" t="str">
        <f t="shared" si="48"/>
        <v>No</v>
      </c>
      <c r="CN70" s="146" t="str">
        <f t="shared" si="49"/>
        <v>No</v>
      </c>
      <c r="CO70" s="146" t="str">
        <f t="shared" si="50"/>
        <v>Also available</v>
      </c>
      <c r="CP70" s="146" t="str">
        <f t="shared" si="51"/>
        <v>No</v>
      </c>
      <c r="CQ70" s="146" t="str">
        <f t="shared" si="52"/>
        <v>No</v>
      </c>
      <c r="CR70" s="146" t="str">
        <f t="shared" si="53"/>
        <v>Also available</v>
      </c>
      <c r="CS70" s="146" t="str">
        <f t="shared" si="54"/>
        <v>Only available</v>
      </c>
      <c r="CT70" s="146" t="str">
        <f t="shared" si="55"/>
        <v>No</v>
      </c>
      <c r="CU70" s="146"/>
    </row>
    <row r="71" spans="1:99" ht="16.399999999999999" customHeight="1" x14ac:dyDescent="0.35">
      <c r="A71" s="145" t="str">
        <f t="shared" si="28"/>
        <v>Leeds Building Society</v>
      </c>
      <c r="B71" s="145" t="str">
        <f>_xlfn.IFNA(_xlfn.CONCAT(INDEX(Producer!$P:$P,MATCH($D71,Producer!$A:$A,0))," ",IF(INDEX(Producer!$N:$N,MATCH($D71,Producer!$A:$A,0))="Yes","Green ",""),IF(AND(INDEX(Producer!$L:$L,MATCH($D71,Producer!$A:$A,0))="No",INDEX(Producer!$C:$C,MATCH($D71,Producer!$A:$A,0))="Fixed"),"Flexit ",""),INDEX(Producer!$B:$B,MATCH($D71,Producer!$A:$A,0))," Year ",INDEX(Producer!$C:$C,MATCH($D71,Producer!$A:$A,0))," ",VALUE(INDEX(Producer!$E:$E,MATCH($D71,Producer!$A:$A,0)))*100,"% LTV",IF(INDEX(Producer!$N:$N,MATCH($D71,Producer!$A:$A,0))="Yes"," (EPC A-C)","")," - ",IF(INDEX(Producer!$D:$D,MATCH($D71,Producer!$A:$A,0))="DLY","Daily","Annual")),"")</f>
        <v>Retirement Interest Only 5 Year Fixed 55% LTV - Daily</v>
      </c>
      <c r="C71" s="146" t="str">
        <f>_xlfn.IFNA(INDEX(Producer!$Q:$Q,MATCH($D71,Producer!$A:$A,0)),"")</f>
        <v>Residential</v>
      </c>
      <c r="D71" s="146">
        <f>IFERROR(VALUE(MID(Producer!$R$2,IF($D70="",1/0,FIND(_xlfn.CONCAT($D69,$D70),Producer!$R$2)+10),5)),"")</f>
        <v>54203</v>
      </c>
      <c r="E71" s="146" t="str">
        <f t="shared" si="29"/>
        <v>Fixed</v>
      </c>
      <c r="F71" s="146"/>
      <c r="G71" s="147">
        <f>_xlfn.IFNA(VALUE(INDEX(Producer!$F:$F,MATCH($D71,Producer!$A:$A,0)))*100,"")</f>
        <v>5.19</v>
      </c>
      <c r="H71" s="216">
        <f>_xlfn.IFNA(IFERROR(DATEVALUE(INDEX(Producer!$M:$M,MATCH($D71,Producer!$A:$A,0))),(INDEX(Producer!$M:$M,MATCH($D71,Producer!$A:$A,0)))),"")</f>
        <v>47514</v>
      </c>
      <c r="I71" s="217">
        <f>_xlfn.IFNA(VALUE(INDEX(Producer!$B:$B,MATCH($D71,Producer!$A:$A,0)))*12,"")</f>
        <v>60</v>
      </c>
      <c r="J71" s="146" t="str">
        <f>_xlfn.IFNA(IF(C71="Residential",IF(VALUE(INDEX(Producer!$B:$B,MATCH($D71,Producer!$A:$A,0)))&lt;5,Constants!$C$10,""),IF(VALUE(INDEX(Producer!$B:$B,MATCH($D71,Producer!$A:$A,0)))&lt;5,Constants!$C$11,"")),"")</f>
        <v/>
      </c>
      <c r="K71" s="216" t="str">
        <f>_xlfn.IFNA(IF(($I71)&lt;60,DATE(YEAR(H71)+(5-VALUE(INDEX(Producer!$B:$B,MATCH($D71,Producer!$A:$A,0)))),MONTH(H71),DAY(H71)),""),"")</f>
        <v/>
      </c>
      <c r="L71" s="153" t="str">
        <f t="shared" si="30"/>
        <v/>
      </c>
      <c r="M71" s="146"/>
      <c r="N71" s="148"/>
      <c r="O71" s="148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>
        <f>IF(D71="","",IF(C71="Residential",Constants!$B$10,Constants!$B$11))</f>
        <v>8.24</v>
      </c>
      <c r="AL71" s="146" t="str">
        <f t="shared" si="31"/>
        <v>SVR</v>
      </c>
      <c r="AM71" s="206" t="str">
        <f t="shared" si="32"/>
        <v/>
      </c>
      <c r="AN71" s="146">
        <f t="shared" si="33"/>
        <v>10</v>
      </c>
      <c r="AO71" s="149" t="str">
        <f t="shared" si="34"/>
        <v>Remortgage</v>
      </c>
      <c r="AP71" s="150" t="str">
        <f t="shared" si="35"/>
        <v>ProductTransfer</v>
      </c>
      <c r="AQ71" s="146">
        <f>IFERROR(_xlfn.IFNA(IF($BA71="No",0,IF(INDEX(Constants!B:B,MATCH(($I71/12),Constants!$A:$A,0))=0,0,INDEX(Constants!B:B,MATCH(($I71/12),Constants!$A:$A,0)))),0),"")</f>
        <v>5</v>
      </c>
      <c r="AR71" s="146">
        <f>IFERROR(_xlfn.IFNA(IF($BA71="No",0,IF(INDEX(Constants!C:C,MATCH(($I71/12),Constants!$A:$A,0))=0,0,INDEX(Constants!C:C,MATCH(($I71/12),Constants!$A:$A,0)))),0),"")</f>
        <v>5</v>
      </c>
      <c r="AS71" s="146">
        <f>IFERROR(_xlfn.IFNA(IF($BA71="No",0,IF(INDEX(Constants!D:D,MATCH(($I71/12),Constants!$A:$A,0))=0,0,INDEX(Constants!D:D,MATCH(($I71/12),Constants!$A:$A,0)))),0),"")</f>
        <v>4</v>
      </c>
      <c r="AT71" s="146">
        <f>IFERROR(_xlfn.IFNA(IF($BA71="No",0,IF(INDEX(Constants!E:E,MATCH(($I71/12),Constants!$A:$A,0))=0,0,INDEX(Constants!E:E,MATCH(($I71/12),Constants!$A:$A,0)))),0),"")</f>
        <v>3</v>
      </c>
      <c r="AU71" s="146">
        <f>IFERROR(_xlfn.IFNA(IF($BA71="No",0,IF(INDEX(Constants!F:F,MATCH(($I71/12),Constants!$A:$A,0))=0,0,INDEX(Constants!F:F,MATCH(($I71/12),Constants!$A:$A,0)))),0),"")</f>
        <v>2</v>
      </c>
      <c r="AV71" s="146">
        <f>IFERROR(_xlfn.IFNA(IF($BA71="No",0,IF(INDEX(Constants!G:G,MATCH(($I71/12),Constants!$A:$A,0))=0,0,INDEX(Constants!G:G,MATCH(($I71/12),Constants!$A:$A,0)))),0),"")</f>
        <v>0</v>
      </c>
      <c r="AW71" s="146">
        <f>IFERROR(_xlfn.IFNA(IF($BA71="No",0,IF(INDEX(Constants!H:H,MATCH(($I71/12),Constants!$A:$A,0))=0,0,INDEX(Constants!H:H,MATCH(($I71/12),Constants!$A:$A,0)))),0),"")</f>
        <v>0</v>
      </c>
      <c r="AX71" s="146">
        <f>IFERROR(_xlfn.IFNA(IF($BA71="No",0,IF(INDEX(Constants!I:I,MATCH(($I71/12),Constants!$A:$A,0))=0,0,INDEX(Constants!I:I,MATCH(($I71/12),Constants!$A:$A,0)))),0),"")</f>
        <v>0</v>
      </c>
      <c r="AY71" s="146">
        <f>IFERROR(_xlfn.IFNA(IF($BA71="No",0,IF(INDEX(Constants!J:J,MATCH(($I71/12),Constants!$A:$A,0))=0,0,INDEX(Constants!J:J,MATCH(($I71/12),Constants!$A:$A,0)))),0),"")</f>
        <v>0</v>
      </c>
      <c r="AZ71" s="146">
        <f>IFERROR(_xlfn.IFNA(IF($BA71="No",0,IF(INDEX(Constants!K:K,MATCH(($I71/12),Constants!$A:$A,0))=0,0,INDEX(Constants!K:K,MATCH(($I71/12),Constants!$A:$A,0)))),0),"")</f>
        <v>0</v>
      </c>
      <c r="BA71" s="147" t="str">
        <f>_xlfn.IFNA(INDEX(Producer!$L:$L,MATCH($D71,Producer!$A:$A,0)),"")</f>
        <v>Yes</v>
      </c>
      <c r="BB71" s="146" t="str">
        <f>IFERROR(IF(AQ71=0,"",IF(($I71/12)=15,_xlfn.CONCAT(Constants!$N$7,TEXT(DATE(YEAR(H71)-(($I71/12)-3),MONTH(H71),DAY(H71)),"dd/mm/yyyy"),", ",Constants!$P$7,TEXT(DATE(YEAR(H71)-(($I71/12)-8),MONTH(H71),DAY(H71)),"dd/mm/yyyy"),", ",Constants!$T$7,TEXT(DATE(YEAR(H71)-(($I71/12)-11),MONTH(H71),DAY(H71)),"dd/mm/yyyy"),", ",Constants!$V$7,TEXT(DATE(YEAR(H71)-(($I71/12)-13),MONTH(H71),DAY(H71)),"dd/mm/yyyy"),", ",Constants!$W$7,TEXT($H71,"dd/mm/yyyy")),IF(($I71/12)=10,_xlfn.CONCAT(Constants!$N$6,TEXT(DATE(YEAR(H71)-(($I71/12)-2),MONTH(H71),DAY(H71)),"dd/mm/yyyy"),", ",Constants!$P$6,TEXT(DATE(YEAR(H71)-(($I71/12)-6),MONTH(H71),DAY(H71)),"dd/mm/yyyy"),", ",Constants!$T$6,TEXT(DATE(YEAR(H71)-(($I71/12)-8),MONTH(H71),DAY(H71)),"dd/mm/yyyy"),", ",Constants!$V$6,TEXT(DATE(YEAR(H71)-(($I71/12)-9),MONTH(H71),DAY(H71)),"dd/mm/yyyy"),", ",Constants!$W$6,TEXT($H71,"dd/mm/yyyy")),IF(($I71/12)=5,_xlfn.CONCAT(Constants!$N$5,TEXT(DATE(YEAR(H71)-(($I71/12)-1),MONTH(H71),DAY(H71)),"dd/mm/yyyy"),", ",Constants!$O$5,TEXT(DATE(YEAR(H71)-(($I71/12)-2),MONTH(H71),DAY(H71)),"dd/mm/yyyy"),", ",Constants!$P$5,TEXT(DATE(YEAR(H71)-(($I71/12)-3),MONTH(H71),DAY(H71)),"dd/mm/yyyy"),", ",Constants!$Q$5,TEXT(DATE(YEAR(H71)-(($I71/12)-4),MONTH(H71),DAY(H71)),"dd/mm/yyyy"),", ",Constants!$R$5,TEXT($H71,"dd/mm/yyyy")),IF(($I71/12)=3,_xlfn.CONCAT(Constants!$N$4,TEXT(DATE(YEAR(H71)-(($I71/12)-1),MONTH(H71),DAY(H71)),"dd/mm/yyyy"),", ",Constants!$O$4,TEXT(DATE(YEAR(H71)-(($I71/12)-2),MONTH(H71),DAY(H71)),"dd/mm/yyyy"),", ",Constants!$P$4,TEXT($H71,"dd/mm/yyyy")),IF(($I71/12)=2,_xlfn.CONCAT(Constants!$N$3,TEXT(DATE(YEAR(H71)-(($I71/12)-1),MONTH(H71),DAY(H71)),"dd/mm/yyyy"),", ",Constants!$O$3,TEXT($H71,"dd/mm/yyyy")),IF(($I71/12)=1,_xlfn.CONCAT(Constants!$N$2,TEXT($H71,"dd/mm/yyyy")),"Update Constants"))))))),"")</f>
        <v>5% to 31/01/2026, 5% to 31/01/2027, 4% to 31/01/2028, 3% to 31/01/2029, 2% to 31/01/2030</v>
      </c>
      <c r="BC71" s="147">
        <f>_xlfn.IFNA(VALUE(INDEX(Producer!$K:$K,MATCH($D71,Producer!$A:$A,0))),"")</f>
        <v>0</v>
      </c>
      <c r="BD71" s="147" t="str">
        <f>_xlfn.IFNA(INDEX(Producer!$I:$I,MATCH($D71,Producer!$A:$A,0)),"")</f>
        <v>No</v>
      </c>
      <c r="BE71" s="147" t="str">
        <f t="shared" si="36"/>
        <v>Yes</v>
      </c>
      <c r="BF71" s="147"/>
      <c r="BG71" s="147"/>
      <c r="BH71" s="151">
        <f>_xlfn.IFNA(INDEX(Constants!$B:$B,MATCH(BC71,Constants!A:A,0)),"")</f>
        <v>0</v>
      </c>
      <c r="BI71" s="147">
        <f>IF(LEFT(B71,15)="Limited Company",Constants!$D$16,IFERROR(_xlfn.IFNA(IF(C71="Residential",IF(BK71&lt;75,INDEX(Constants!$B:$B,MATCH(VALUE(60)/100,Constants!$A:$A,0)),INDEX(Constants!$B:$B,MATCH(VALUE(BK71)/100,Constants!$A:$A,0))),IF(BK71&lt;60,INDEX(Constants!$C:$C,MATCH(VALUE(60)/100,Constants!$A:$A,0)),INDEX(Constants!$C:$C,MATCH(VALUE(BK71)/100,Constants!$A:$A,0)))),""),""))</f>
        <v>2000000</v>
      </c>
      <c r="BJ71" s="147">
        <f t="shared" si="37"/>
        <v>0</v>
      </c>
      <c r="BK71" s="147">
        <f>_xlfn.IFNA(VALUE(INDEX(Producer!$E:$E,MATCH($D71,Producer!$A:$A,0)))*100,"")</f>
        <v>55.000000000000007</v>
      </c>
      <c r="BL71" s="146" t="str">
        <f>_xlfn.IFNA(IF(IFERROR(FIND("Part &amp; Part",B71),-10)&gt;0,"PP",IF(OR(LEFT(B71,25)="Residential Interest Only",INDEX(Producer!$P:$P,MATCH($D71,Producer!$A:$A,0))="IO",INDEX(Producer!$P:$P,MATCH($D71,Producer!$A:$A,0))="Retirement Interest Only"),"IO",IF($C71="BuyToLet","CI, IO","CI"))),"")</f>
        <v>IO</v>
      </c>
      <c r="BM71" s="152">
        <f>_xlfn.IFNA(IF(BL71="IO",100%,IF(AND(INDEX(Producer!$P:$P,MATCH($D71,Producer!$A:$A,0))="Residential Interest Only Part &amp; Part",BK71=75),80%,IF(C71="BuyToLet",100%,IF(BL71="Interest Only",100%,IF(AND(INDEX(Producer!$P:$P,MATCH($D71,Producer!$A:$A,0))="Residential Interest Only Part &amp; Part",BK71=60),100%,""))))),"")</f>
        <v>1</v>
      </c>
      <c r="BN71" s="218">
        <f>_xlfn.IFNA(IF(VALUE(INDEX(Producer!$H:$H,MATCH($D71,Producer!$A:$A,0)))=0,"",VALUE(INDEX(Producer!$H:$H,MATCH($D71,Producer!$A:$A,0)))),"")</f>
        <v>999</v>
      </c>
      <c r="BO71" s="153"/>
      <c r="BP71" s="153"/>
      <c r="BQ71" s="219">
        <f t="shared" si="38"/>
        <v>35</v>
      </c>
      <c r="BR71" s="146"/>
      <c r="BS71" s="146"/>
      <c r="BT71" s="146"/>
      <c r="BU71" s="146"/>
      <c r="BV71" s="219">
        <f t="shared" si="39"/>
        <v>199</v>
      </c>
      <c r="BW71" s="146"/>
      <c r="BX71" s="146"/>
      <c r="BY71" s="146" t="str">
        <f t="shared" si="40"/>
        <v>No</v>
      </c>
      <c r="BZ71" s="146" t="str">
        <f t="shared" si="41"/>
        <v>No</v>
      </c>
      <c r="CA71" s="146" t="str">
        <f t="shared" si="42"/>
        <v>No</v>
      </c>
      <c r="CB71" s="146" t="str">
        <f t="shared" si="43"/>
        <v>No</v>
      </c>
      <c r="CC71" s="146" t="str">
        <f>_xlfn.IFNA(IF(INDEX(Producer!$P:$P,MATCH($D71,Producer!$A:$A,0))="Help to Buy","Only available","No"),"")</f>
        <v>No</v>
      </c>
      <c r="CD71" s="146" t="str">
        <f>_xlfn.IFNA(IF(INDEX(Producer!$P:$P,MATCH($D71,Producer!$A:$A,0))="Shared Ownership","Only available","No"),"")</f>
        <v>No</v>
      </c>
      <c r="CE71" s="146" t="str">
        <f>_xlfn.IFNA(IF(INDEX(Producer!$P:$P,MATCH($D71,Producer!$A:$A,0))="Right to Buy","Only available","No"),"")</f>
        <v>No</v>
      </c>
      <c r="CF71" s="146" t="str">
        <f t="shared" si="44"/>
        <v>No</v>
      </c>
      <c r="CG71" s="146" t="str">
        <f>_xlfn.IFNA(IF(INDEX(Producer!$P:$P,MATCH($D71,Producer!$A:$A,0))="Retirement Interest Only","Only available","No"),"")</f>
        <v>Only available</v>
      </c>
      <c r="CH71" s="146" t="str">
        <f t="shared" si="45"/>
        <v>No</v>
      </c>
      <c r="CI71" s="146" t="str">
        <f>_xlfn.IFNA(IF(INDEX(Producer!$P:$P,MATCH($D71,Producer!$A:$A,0))="Intermediary Holiday Let","Only available","No"),"")</f>
        <v>No</v>
      </c>
      <c r="CJ71" s="146" t="str">
        <f t="shared" si="46"/>
        <v>No</v>
      </c>
      <c r="CK71" s="146" t="str">
        <f>_xlfn.IFNA(IF(OR(INDEX(Producer!$P:$P,MATCH($D71,Producer!$A:$A,0))="Intermediary Small HMO",INDEX(Producer!$P:$P,MATCH($D71,Producer!$A:$A,0))="Intermediary Large HMO"),"Only available","No"),"")</f>
        <v>No</v>
      </c>
      <c r="CL71" s="146" t="str">
        <f t="shared" si="47"/>
        <v>No</v>
      </c>
      <c r="CM71" s="146" t="str">
        <f t="shared" si="48"/>
        <v>No</v>
      </c>
      <c r="CN71" s="146" t="str">
        <f t="shared" si="49"/>
        <v>No</v>
      </c>
      <c r="CO71" s="146" t="str">
        <f t="shared" si="50"/>
        <v>Also available</v>
      </c>
      <c r="CP71" s="146" t="str">
        <f t="shared" si="51"/>
        <v>No</v>
      </c>
      <c r="CQ71" s="146" t="str">
        <f t="shared" si="52"/>
        <v>No</v>
      </c>
      <c r="CR71" s="146" t="str">
        <f t="shared" si="53"/>
        <v>Also available</v>
      </c>
      <c r="CS71" s="146" t="str">
        <f t="shared" si="54"/>
        <v>Only available</v>
      </c>
      <c r="CT71" s="146" t="str">
        <f t="shared" si="55"/>
        <v>No</v>
      </c>
      <c r="CU71" s="146"/>
    </row>
    <row r="72" spans="1:99" ht="16.399999999999999" customHeight="1" x14ac:dyDescent="0.35">
      <c r="A72" s="145" t="str">
        <f t="shared" si="28"/>
        <v>Leeds Building Society</v>
      </c>
      <c r="B72" s="145" t="str">
        <f>_xlfn.IFNA(_xlfn.CONCAT(INDEX(Producer!$P:$P,MATCH($D72,Producer!$A:$A,0))," ",IF(INDEX(Producer!$N:$N,MATCH($D72,Producer!$A:$A,0))="Yes","Green ",""),IF(AND(INDEX(Producer!$L:$L,MATCH($D72,Producer!$A:$A,0))="No",INDEX(Producer!$C:$C,MATCH($D72,Producer!$A:$A,0))="Fixed"),"Flexit ",""),INDEX(Producer!$B:$B,MATCH($D72,Producer!$A:$A,0))," Year ",INDEX(Producer!$C:$C,MATCH($D72,Producer!$A:$A,0))," ",VALUE(INDEX(Producer!$E:$E,MATCH($D72,Producer!$A:$A,0)))*100,"% LTV",IF(INDEX(Producer!$N:$N,MATCH($D72,Producer!$A:$A,0))="Yes"," (EPC A-C)","")," - ",IF(INDEX(Producer!$D:$D,MATCH($D72,Producer!$A:$A,0))="DLY","Daily","Annual")),"")</f>
        <v>Retirement Interest Only 5 Year Fixed 55% LTV - Daily</v>
      </c>
      <c r="C72" s="146" t="str">
        <f>_xlfn.IFNA(INDEX(Producer!$Q:$Q,MATCH($D72,Producer!$A:$A,0)),"")</f>
        <v>Residential</v>
      </c>
      <c r="D72" s="146">
        <f>IFERROR(VALUE(MID(Producer!$R$2,IF($D71="",1/0,FIND(_xlfn.CONCAT($D70,$D71),Producer!$R$2)+10),5)),"")</f>
        <v>54202</v>
      </c>
      <c r="E72" s="146" t="str">
        <f t="shared" si="29"/>
        <v>Fixed</v>
      </c>
      <c r="F72" s="146"/>
      <c r="G72" s="147">
        <f>_xlfn.IFNA(VALUE(INDEX(Producer!$F:$F,MATCH($D72,Producer!$A:$A,0)))*100,"")</f>
        <v>5.34</v>
      </c>
      <c r="H72" s="216">
        <f>_xlfn.IFNA(IFERROR(DATEVALUE(INDEX(Producer!$M:$M,MATCH($D72,Producer!$A:$A,0))),(INDEX(Producer!$M:$M,MATCH($D72,Producer!$A:$A,0)))),"")</f>
        <v>47514</v>
      </c>
      <c r="I72" s="217">
        <f>_xlfn.IFNA(VALUE(INDEX(Producer!$B:$B,MATCH($D72,Producer!$A:$A,0)))*12,"")</f>
        <v>60</v>
      </c>
      <c r="J72" s="146" t="str">
        <f>_xlfn.IFNA(IF(C72="Residential",IF(VALUE(INDEX(Producer!$B:$B,MATCH($D72,Producer!$A:$A,0)))&lt;5,Constants!$C$10,""),IF(VALUE(INDEX(Producer!$B:$B,MATCH($D72,Producer!$A:$A,0)))&lt;5,Constants!$C$11,"")),"")</f>
        <v/>
      </c>
      <c r="K72" s="216" t="str">
        <f>_xlfn.IFNA(IF(($I72)&lt;60,DATE(YEAR(H72)+(5-VALUE(INDEX(Producer!$B:$B,MATCH($D72,Producer!$A:$A,0)))),MONTH(H72),DAY(H72)),""),"")</f>
        <v/>
      </c>
      <c r="L72" s="153" t="str">
        <f t="shared" si="30"/>
        <v/>
      </c>
      <c r="M72" s="146"/>
      <c r="N72" s="148"/>
      <c r="O72" s="148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>
        <f>IF(D72="","",IF(C72="Residential",Constants!$B$10,Constants!$B$11))</f>
        <v>8.24</v>
      </c>
      <c r="AL72" s="146" t="str">
        <f t="shared" si="31"/>
        <v>SVR</v>
      </c>
      <c r="AM72" s="206" t="str">
        <f t="shared" si="32"/>
        <v/>
      </c>
      <c r="AN72" s="146">
        <f t="shared" si="33"/>
        <v>10</v>
      </c>
      <c r="AO72" s="149" t="str">
        <f t="shared" si="34"/>
        <v>Remortgage</v>
      </c>
      <c r="AP72" s="150" t="str">
        <f t="shared" si="35"/>
        <v>ProductTransfer</v>
      </c>
      <c r="AQ72" s="146">
        <f>IFERROR(_xlfn.IFNA(IF($BA72="No",0,IF(INDEX(Constants!B:B,MATCH(($I72/12),Constants!$A:$A,0))=0,0,INDEX(Constants!B:B,MATCH(($I72/12),Constants!$A:$A,0)))),0),"")</f>
        <v>5</v>
      </c>
      <c r="AR72" s="146">
        <f>IFERROR(_xlfn.IFNA(IF($BA72="No",0,IF(INDEX(Constants!C:C,MATCH(($I72/12),Constants!$A:$A,0))=0,0,INDEX(Constants!C:C,MATCH(($I72/12),Constants!$A:$A,0)))),0),"")</f>
        <v>5</v>
      </c>
      <c r="AS72" s="146">
        <f>IFERROR(_xlfn.IFNA(IF($BA72="No",0,IF(INDEX(Constants!D:D,MATCH(($I72/12),Constants!$A:$A,0))=0,0,INDEX(Constants!D:D,MATCH(($I72/12),Constants!$A:$A,0)))),0),"")</f>
        <v>4</v>
      </c>
      <c r="AT72" s="146">
        <f>IFERROR(_xlfn.IFNA(IF($BA72="No",0,IF(INDEX(Constants!E:E,MATCH(($I72/12),Constants!$A:$A,0))=0,0,INDEX(Constants!E:E,MATCH(($I72/12),Constants!$A:$A,0)))),0),"")</f>
        <v>3</v>
      </c>
      <c r="AU72" s="146">
        <f>IFERROR(_xlfn.IFNA(IF($BA72="No",0,IF(INDEX(Constants!F:F,MATCH(($I72/12),Constants!$A:$A,0))=0,0,INDEX(Constants!F:F,MATCH(($I72/12),Constants!$A:$A,0)))),0),"")</f>
        <v>2</v>
      </c>
      <c r="AV72" s="146">
        <f>IFERROR(_xlfn.IFNA(IF($BA72="No",0,IF(INDEX(Constants!G:G,MATCH(($I72/12),Constants!$A:$A,0))=0,0,INDEX(Constants!G:G,MATCH(($I72/12),Constants!$A:$A,0)))),0),"")</f>
        <v>0</v>
      </c>
      <c r="AW72" s="146">
        <f>IFERROR(_xlfn.IFNA(IF($BA72="No",0,IF(INDEX(Constants!H:H,MATCH(($I72/12),Constants!$A:$A,0))=0,0,INDEX(Constants!H:H,MATCH(($I72/12),Constants!$A:$A,0)))),0),"")</f>
        <v>0</v>
      </c>
      <c r="AX72" s="146">
        <f>IFERROR(_xlfn.IFNA(IF($BA72="No",0,IF(INDEX(Constants!I:I,MATCH(($I72/12),Constants!$A:$A,0))=0,0,INDEX(Constants!I:I,MATCH(($I72/12),Constants!$A:$A,0)))),0),"")</f>
        <v>0</v>
      </c>
      <c r="AY72" s="146">
        <f>IFERROR(_xlfn.IFNA(IF($BA72="No",0,IF(INDEX(Constants!J:J,MATCH(($I72/12),Constants!$A:$A,0))=0,0,INDEX(Constants!J:J,MATCH(($I72/12),Constants!$A:$A,0)))),0),"")</f>
        <v>0</v>
      </c>
      <c r="AZ72" s="146">
        <f>IFERROR(_xlfn.IFNA(IF($BA72="No",0,IF(INDEX(Constants!K:K,MATCH(($I72/12),Constants!$A:$A,0))=0,0,INDEX(Constants!K:K,MATCH(($I72/12),Constants!$A:$A,0)))),0),"")</f>
        <v>0</v>
      </c>
      <c r="BA72" s="147" t="str">
        <f>_xlfn.IFNA(INDEX(Producer!$L:$L,MATCH($D72,Producer!$A:$A,0)),"")</f>
        <v>Yes</v>
      </c>
      <c r="BB72" s="146" t="str">
        <f>IFERROR(IF(AQ72=0,"",IF(($I72/12)=15,_xlfn.CONCAT(Constants!$N$7,TEXT(DATE(YEAR(H72)-(($I72/12)-3),MONTH(H72),DAY(H72)),"dd/mm/yyyy"),", ",Constants!$P$7,TEXT(DATE(YEAR(H72)-(($I72/12)-8),MONTH(H72),DAY(H72)),"dd/mm/yyyy"),", ",Constants!$T$7,TEXT(DATE(YEAR(H72)-(($I72/12)-11),MONTH(H72),DAY(H72)),"dd/mm/yyyy"),", ",Constants!$V$7,TEXT(DATE(YEAR(H72)-(($I72/12)-13),MONTH(H72),DAY(H72)),"dd/mm/yyyy"),", ",Constants!$W$7,TEXT($H72,"dd/mm/yyyy")),IF(($I72/12)=10,_xlfn.CONCAT(Constants!$N$6,TEXT(DATE(YEAR(H72)-(($I72/12)-2),MONTH(H72),DAY(H72)),"dd/mm/yyyy"),", ",Constants!$P$6,TEXT(DATE(YEAR(H72)-(($I72/12)-6),MONTH(H72),DAY(H72)),"dd/mm/yyyy"),", ",Constants!$T$6,TEXT(DATE(YEAR(H72)-(($I72/12)-8),MONTH(H72),DAY(H72)),"dd/mm/yyyy"),", ",Constants!$V$6,TEXT(DATE(YEAR(H72)-(($I72/12)-9),MONTH(H72),DAY(H72)),"dd/mm/yyyy"),", ",Constants!$W$6,TEXT($H72,"dd/mm/yyyy")),IF(($I72/12)=5,_xlfn.CONCAT(Constants!$N$5,TEXT(DATE(YEAR(H72)-(($I72/12)-1),MONTH(H72),DAY(H72)),"dd/mm/yyyy"),", ",Constants!$O$5,TEXT(DATE(YEAR(H72)-(($I72/12)-2),MONTH(H72),DAY(H72)),"dd/mm/yyyy"),", ",Constants!$P$5,TEXT(DATE(YEAR(H72)-(($I72/12)-3),MONTH(H72),DAY(H72)),"dd/mm/yyyy"),", ",Constants!$Q$5,TEXT(DATE(YEAR(H72)-(($I72/12)-4),MONTH(H72),DAY(H72)),"dd/mm/yyyy"),", ",Constants!$R$5,TEXT($H72,"dd/mm/yyyy")),IF(($I72/12)=3,_xlfn.CONCAT(Constants!$N$4,TEXT(DATE(YEAR(H72)-(($I72/12)-1),MONTH(H72),DAY(H72)),"dd/mm/yyyy"),", ",Constants!$O$4,TEXT(DATE(YEAR(H72)-(($I72/12)-2),MONTH(H72),DAY(H72)),"dd/mm/yyyy"),", ",Constants!$P$4,TEXT($H72,"dd/mm/yyyy")),IF(($I72/12)=2,_xlfn.CONCAT(Constants!$N$3,TEXT(DATE(YEAR(H72)-(($I72/12)-1),MONTH(H72),DAY(H72)),"dd/mm/yyyy"),", ",Constants!$O$3,TEXT($H72,"dd/mm/yyyy")),IF(($I72/12)=1,_xlfn.CONCAT(Constants!$N$2,TEXT($H72,"dd/mm/yyyy")),"Update Constants"))))))),"")</f>
        <v>5% to 31/01/2026, 5% to 31/01/2027, 4% to 31/01/2028, 3% to 31/01/2029, 2% to 31/01/2030</v>
      </c>
      <c r="BC72" s="147">
        <f>_xlfn.IFNA(VALUE(INDEX(Producer!$K:$K,MATCH($D72,Producer!$A:$A,0))),"")</f>
        <v>0</v>
      </c>
      <c r="BD72" s="147" t="str">
        <f>_xlfn.IFNA(INDEX(Producer!$I:$I,MATCH($D72,Producer!$A:$A,0)),"")</f>
        <v>No</v>
      </c>
      <c r="BE72" s="147" t="str">
        <f t="shared" si="36"/>
        <v>Yes</v>
      </c>
      <c r="BF72" s="147"/>
      <c r="BG72" s="147"/>
      <c r="BH72" s="151">
        <f>_xlfn.IFNA(INDEX(Constants!$B:$B,MATCH(BC72,Constants!A:A,0)),"")</f>
        <v>0</v>
      </c>
      <c r="BI72" s="147">
        <f>IF(LEFT(B72,15)="Limited Company",Constants!$D$16,IFERROR(_xlfn.IFNA(IF(C72="Residential",IF(BK72&lt;75,INDEX(Constants!$B:$B,MATCH(VALUE(60)/100,Constants!$A:$A,0)),INDEX(Constants!$B:$B,MATCH(VALUE(BK72)/100,Constants!$A:$A,0))),IF(BK72&lt;60,INDEX(Constants!$C:$C,MATCH(VALUE(60)/100,Constants!$A:$A,0)),INDEX(Constants!$C:$C,MATCH(VALUE(BK72)/100,Constants!$A:$A,0)))),""),""))</f>
        <v>2000000</v>
      </c>
      <c r="BJ72" s="147">
        <f t="shared" si="37"/>
        <v>0</v>
      </c>
      <c r="BK72" s="147">
        <f>_xlfn.IFNA(VALUE(INDEX(Producer!$E:$E,MATCH($D72,Producer!$A:$A,0)))*100,"")</f>
        <v>55.000000000000007</v>
      </c>
      <c r="BL72" s="146" t="str">
        <f>_xlfn.IFNA(IF(IFERROR(FIND("Part &amp; Part",B72),-10)&gt;0,"PP",IF(OR(LEFT(B72,25)="Residential Interest Only",INDEX(Producer!$P:$P,MATCH($D72,Producer!$A:$A,0))="IO",INDEX(Producer!$P:$P,MATCH($D72,Producer!$A:$A,0))="Retirement Interest Only"),"IO",IF($C72="BuyToLet","CI, IO","CI"))),"")</f>
        <v>IO</v>
      </c>
      <c r="BM72" s="152">
        <f>_xlfn.IFNA(IF(BL72="IO",100%,IF(AND(INDEX(Producer!$P:$P,MATCH($D72,Producer!$A:$A,0))="Residential Interest Only Part &amp; Part",BK72=75),80%,IF(C72="BuyToLet",100%,IF(BL72="Interest Only",100%,IF(AND(INDEX(Producer!$P:$P,MATCH($D72,Producer!$A:$A,0))="Residential Interest Only Part &amp; Part",BK72=60),100%,""))))),"")</f>
        <v>1</v>
      </c>
      <c r="BN72" s="218" t="str">
        <f>_xlfn.IFNA(IF(VALUE(INDEX(Producer!$H:$H,MATCH($D72,Producer!$A:$A,0)))=0,"",VALUE(INDEX(Producer!$H:$H,MATCH($D72,Producer!$A:$A,0)))),"")</f>
        <v/>
      </c>
      <c r="BO72" s="153"/>
      <c r="BP72" s="153"/>
      <c r="BQ72" s="219">
        <f t="shared" si="38"/>
        <v>35</v>
      </c>
      <c r="BR72" s="146"/>
      <c r="BS72" s="146"/>
      <c r="BT72" s="146"/>
      <c r="BU72" s="146"/>
      <c r="BV72" s="219">
        <f t="shared" si="39"/>
        <v>199</v>
      </c>
      <c r="BW72" s="146"/>
      <c r="BX72" s="146"/>
      <c r="BY72" s="146" t="str">
        <f t="shared" si="40"/>
        <v>No</v>
      </c>
      <c r="BZ72" s="146" t="str">
        <f t="shared" si="41"/>
        <v>No</v>
      </c>
      <c r="CA72" s="146" t="str">
        <f t="shared" si="42"/>
        <v>No</v>
      </c>
      <c r="CB72" s="146" t="str">
        <f t="shared" si="43"/>
        <v>No</v>
      </c>
      <c r="CC72" s="146" t="str">
        <f>_xlfn.IFNA(IF(INDEX(Producer!$P:$P,MATCH($D72,Producer!$A:$A,0))="Help to Buy","Only available","No"),"")</f>
        <v>No</v>
      </c>
      <c r="CD72" s="146" t="str">
        <f>_xlfn.IFNA(IF(INDEX(Producer!$P:$P,MATCH($D72,Producer!$A:$A,0))="Shared Ownership","Only available","No"),"")</f>
        <v>No</v>
      </c>
      <c r="CE72" s="146" t="str">
        <f>_xlfn.IFNA(IF(INDEX(Producer!$P:$P,MATCH($D72,Producer!$A:$A,0))="Right to Buy","Only available","No"),"")</f>
        <v>No</v>
      </c>
      <c r="CF72" s="146" t="str">
        <f t="shared" si="44"/>
        <v>No</v>
      </c>
      <c r="CG72" s="146" t="str">
        <f>_xlfn.IFNA(IF(INDEX(Producer!$P:$P,MATCH($D72,Producer!$A:$A,0))="Retirement Interest Only","Only available","No"),"")</f>
        <v>Only available</v>
      </c>
      <c r="CH72" s="146" t="str">
        <f t="shared" si="45"/>
        <v>No</v>
      </c>
      <c r="CI72" s="146" t="str">
        <f>_xlfn.IFNA(IF(INDEX(Producer!$P:$P,MATCH($D72,Producer!$A:$A,0))="Intermediary Holiday Let","Only available","No"),"")</f>
        <v>No</v>
      </c>
      <c r="CJ72" s="146" t="str">
        <f t="shared" si="46"/>
        <v>No</v>
      </c>
      <c r="CK72" s="146" t="str">
        <f>_xlfn.IFNA(IF(OR(INDEX(Producer!$P:$P,MATCH($D72,Producer!$A:$A,0))="Intermediary Small HMO",INDEX(Producer!$P:$P,MATCH($D72,Producer!$A:$A,0))="Intermediary Large HMO"),"Only available","No"),"")</f>
        <v>No</v>
      </c>
      <c r="CL72" s="146" t="str">
        <f t="shared" si="47"/>
        <v>No</v>
      </c>
      <c r="CM72" s="146" t="str">
        <f t="shared" si="48"/>
        <v>No</v>
      </c>
      <c r="CN72" s="146" t="str">
        <f t="shared" si="49"/>
        <v>No</v>
      </c>
      <c r="CO72" s="146" t="str">
        <f t="shared" si="50"/>
        <v>Also available</v>
      </c>
      <c r="CP72" s="146" t="str">
        <f t="shared" si="51"/>
        <v>No</v>
      </c>
      <c r="CQ72" s="146" t="str">
        <f t="shared" si="52"/>
        <v>No</v>
      </c>
      <c r="CR72" s="146" t="str">
        <f t="shared" si="53"/>
        <v>Also available</v>
      </c>
      <c r="CS72" s="146" t="str">
        <f t="shared" si="54"/>
        <v>Only available</v>
      </c>
      <c r="CT72" s="146" t="str">
        <f t="shared" si="55"/>
        <v>No</v>
      </c>
      <c r="CU72" s="146"/>
    </row>
    <row r="73" spans="1:99" ht="16.399999999999999" customHeight="1" x14ac:dyDescent="0.35">
      <c r="A73" s="145" t="str">
        <f t="shared" si="28"/>
        <v>Leeds Building Society</v>
      </c>
      <c r="B73" s="145" t="str">
        <f>_xlfn.IFNA(_xlfn.CONCAT(INDEX(Producer!$P:$P,MATCH($D73,Producer!$A:$A,0))," ",IF(INDEX(Producer!$N:$N,MATCH($D73,Producer!$A:$A,0))="Yes","Green ",""),IF(AND(INDEX(Producer!$L:$L,MATCH($D73,Producer!$A:$A,0))="No",INDEX(Producer!$C:$C,MATCH($D73,Producer!$A:$A,0))="Fixed"),"Flexit ",""),INDEX(Producer!$B:$B,MATCH($D73,Producer!$A:$A,0))," Year ",INDEX(Producer!$C:$C,MATCH($D73,Producer!$A:$A,0))," ",VALUE(INDEX(Producer!$E:$E,MATCH($D73,Producer!$A:$A,0)))*100,"% LTV",IF(INDEX(Producer!$N:$N,MATCH($D73,Producer!$A:$A,0))="Yes"," (EPC A-C)","")," - ",IF(INDEX(Producer!$D:$D,MATCH($D73,Producer!$A:$A,0))="DLY","Daily","Annual")),"")</f>
        <v>Intermediary Small HMO 2 Year Fixed 75% LTV - Daily</v>
      </c>
      <c r="C73" s="146" t="str">
        <f>_xlfn.IFNA(INDEX(Producer!$Q:$Q,MATCH($D73,Producer!$A:$A,0)),"")</f>
        <v>BuyToLet</v>
      </c>
      <c r="D73" s="146">
        <f>IFERROR(VALUE(MID(Producer!$R$2,IF($D72="",1/0,FIND(_xlfn.CONCAT($D71,$D72),Producer!$R$2)+10),5)),"")</f>
        <v>54316</v>
      </c>
      <c r="E73" s="146" t="str">
        <f t="shared" si="29"/>
        <v>Stepped Fixed</v>
      </c>
      <c r="F73" s="146"/>
      <c r="G73" s="147">
        <f>_xlfn.IFNA(VALUE(INDEX(Producer!$F:$F,MATCH($D73,Producer!$A:$A,0)))*100,"")</f>
        <v>6.2399999999999993</v>
      </c>
      <c r="H73" s="216">
        <f>_xlfn.IFNA(IFERROR(DATEVALUE(INDEX(Producer!$M:$M,MATCH($D73,Producer!$A:$A,0))),(INDEX(Producer!$M:$M,MATCH($D73,Producer!$A:$A,0)))),"")</f>
        <v>46418</v>
      </c>
      <c r="I73" s="217">
        <f>_xlfn.IFNA(VALUE(INDEX(Producer!$B:$B,MATCH($D73,Producer!$A:$A,0)))*12,"")</f>
        <v>24</v>
      </c>
      <c r="J73" s="146">
        <f>_xlfn.IFNA(IF(C73="Residential",IF(VALUE(INDEX(Producer!$B:$B,MATCH($D73,Producer!$A:$A,0)))&lt;5,Constants!$C$10,""),IF(VALUE(INDEX(Producer!$B:$B,MATCH($D73,Producer!$A:$A,0)))&lt;5,Constants!$C$11,"")),"")</f>
        <v>7.54</v>
      </c>
      <c r="K73" s="216">
        <f>_xlfn.IFNA(IF(($I73)&lt;60,DATE(YEAR(H73)+(5-VALUE(INDEX(Producer!$B:$B,MATCH($D73,Producer!$A:$A,0)))),MONTH(H73),DAY(H73)),""),"")</f>
        <v>47514</v>
      </c>
      <c r="L73" s="153">
        <f t="shared" si="30"/>
        <v>36</v>
      </c>
      <c r="M73" s="146"/>
      <c r="N73" s="148"/>
      <c r="O73" s="148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>
        <f>IF(D73="","",IF(C73="Residential",Constants!$B$10,Constants!$B$11))</f>
        <v>8.5399999999999991</v>
      </c>
      <c r="AL73" s="146" t="str">
        <f t="shared" si="31"/>
        <v>BVR</v>
      </c>
      <c r="AM73" s="206" t="str">
        <f t="shared" si="32"/>
        <v/>
      </c>
      <c r="AN73" s="146">
        <f t="shared" si="33"/>
        <v>10</v>
      </c>
      <c r="AO73" s="149" t="str">
        <f t="shared" si="34"/>
        <v>Remortgage</v>
      </c>
      <c r="AP73" s="150" t="str">
        <f t="shared" si="35"/>
        <v>ProductTransfer</v>
      </c>
      <c r="AQ73" s="146">
        <f>IFERROR(_xlfn.IFNA(IF($BA73="No",0,IF(INDEX(Constants!B:B,MATCH(($I73/12),Constants!$A:$A,0))=0,0,INDEX(Constants!B:B,MATCH(($I73/12),Constants!$A:$A,0)))),0),"")</f>
        <v>2.5</v>
      </c>
      <c r="AR73" s="146">
        <f>IFERROR(_xlfn.IFNA(IF($BA73="No",0,IF(INDEX(Constants!C:C,MATCH(($I73/12),Constants!$A:$A,0))=0,0,INDEX(Constants!C:C,MATCH(($I73/12),Constants!$A:$A,0)))),0),"")</f>
        <v>1.5</v>
      </c>
      <c r="AS73" s="146">
        <f>IFERROR(_xlfn.IFNA(IF($BA73="No",0,IF(INDEX(Constants!D:D,MATCH(($I73/12),Constants!$A:$A,0))=0,0,INDEX(Constants!D:D,MATCH(($I73/12),Constants!$A:$A,0)))),0),"")</f>
        <v>0</v>
      </c>
      <c r="AT73" s="146">
        <f>IFERROR(_xlfn.IFNA(IF($BA73="No",0,IF(INDEX(Constants!E:E,MATCH(($I73/12),Constants!$A:$A,0))=0,0,INDEX(Constants!E:E,MATCH(($I73/12),Constants!$A:$A,0)))),0),"")</f>
        <v>0</v>
      </c>
      <c r="AU73" s="146">
        <f>IFERROR(_xlfn.IFNA(IF($BA73="No",0,IF(INDEX(Constants!F:F,MATCH(($I73/12),Constants!$A:$A,0))=0,0,INDEX(Constants!F:F,MATCH(($I73/12),Constants!$A:$A,0)))),0),"")</f>
        <v>0</v>
      </c>
      <c r="AV73" s="146">
        <f>IFERROR(_xlfn.IFNA(IF($BA73="No",0,IF(INDEX(Constants!G:G,MATCH(($I73/12),Constants!$A:$A,0))=0,0,INDEX(Constants!G:G,MATCH(($I73/12),Constants!$A:$A,0)))),0),"")</f>
        <v>0</v>
      </c>
      <c r="AW73" s="146">
        <f>IFERROR(_xlfn.IFNA(IF($BA73="No",0,IF(INDEX(Constants!H:H,MATCH(($I73/12),Constants!$A:$A,0))=0,0,INDEX(Constants!H:H,MATCH(($I73/12),Constants!$A:$A,0)))),0),"")</f>
        <v>0</v>
      </c>
      <c r="AX73" s="146">
        <f>IFERROR(_xlfn.IFNA(IF($BA73="No",0,IF(INDEX(Constants!I:I,MATCH(($I73/12),Constants!$A:$A,0))=0,0,INDEX(Constants!I:I,MATCH(($I73/12),Constants!$A:$A,0)))),0),"")</f>
        <v>0</v>
      </c>
      <c r="AY73" s="146">
        <f>IFERROR(_xlfn.IFNA(IF($BA73="No",0,IF(INDEX(Constants!J:J,MATCH(($I73/12),Constants!$A:$A,0))=0,0,INDEX(Constants!J:J,MATCH(($I73/12),Constants!$A:$A,0)))),0),"")</f>
        <v>0</v>
      </c>
      <c r="AZ73" s="146">
        <f>IFERROR(_xlfn.IFNA(IF($BA73="No",0,IF(INDEX(Constants!K:K,MATCH(($I73/12),Constants!$A:$A,0))=0,0,INDEX(Constants!K:K,MATCH(($I73/12),Constants!$A:$A,0)))),0),"")</f>
        <v>0</v>
      </c>
      <c r="BA73" s="147" t="str">
        <f>_xlfn.IFNA(INDEX(Producer!$L:$L,MATCH($D73,Producer!$A:$A,0)),"")</f>
        <v>Yes</v>
      </c>
      <c r="BB73" s="146" t="str">
        <f>IFERROR(IF(AQ73=0,"",IF(($I73/12)=15,_xlfn.CONCAT(Constants!$N$7,TEXT(DATE(YEAR(H73)-(($I73/12)-3),MONTH(H73),DAY(H73)),"dd/mm/yyyy"),", ",Constants!$P$7,TEXT(DATE(YEAR(H73)-(($I73/12)-8),MONTH(H73),DAY(H73)),"dd/mm/yyyy"),", ",Constants!$T$7,TEXT(DATE(YEAR(H73)-(($I73/12)-11),MONTH(H73),DAY(H73)),"dd/mm/yyyy"),", ",Constants!$V$7,TEXT(DATE(YEAR(H73)-(($I73/12)-13),MONTH(H73),DAY(H73)),"dd/mm/yyyy"),", ",Constants!$W$7,TEXT($H73,"dd/mm/yyyy")),IF(($I73/12)=10,_xlfn.CONCAT(Constants!$N$6,TEXT(DATE(YEAR(H73)-(($I73/12)-2),MONTH(H73),DAY(H73)),"dd/mm/yyyy"),", ",Constants!$P$6,TEXT(DATE(YEAR(H73)-(($I73/12)-6),MONTH(H73),DAY(H73)),"dd/mm/yyyy"),", ",Constants!$T$6,TEXT(DATE(YEAR(H73)-(($I73/12)-8),MONTH(H73),DAY(H73)),"dd/mm/yyyy"),", ",Constants!$V$6,TEXT(DATE(YEAR(H73)-(($I73/12)-9),MONTH(H73),DAY(H73)),"dd/mm/yyyy"),", ",Constants!$W$6,TEXT($H73,"dd/mm/yyyy")),IF(($I73/12)=5,_xlfn.CONCAT(Constants!$N$5,TEXT(DATE(YEAR(H73)-(($I73/12)-1),MONTH(H73),DAY(H73)),"dd/mm/yyyy"),", ",Constants!$O$5,TEXT(DATE(YEAR(H73)-(($I73/12)-2),MONTH(H73),DAY(H73)),"dd/mm/yyyy"),", ",Constants!$P$5,TEXT(DATE(YEAR(H73)-(($I73/12)-3),MONTH(H73),DAY(H73)),"dd/mm/yyyy"),", ",Constants!$Q$5,TEXT(DATE(YEAR(H73)-(($I73/12)-4),MONTH(H73),DAY(H73)),"dd/mm/yyyy"),", ",Constants!$R$5,TEXT($H73,"dd/mm/yyyy")),IF(($I73/12)=3,_xlfn.CONCAT(Constants!$N$4,TEXT(DATE(YEAR(H73)-(($I73/12)-1),MONTH(H73),DAY(H73)),"dd/mm/yyyy"),", ",Constants!$O$4,TEXT(DATE(YEAR(H73)-(($I73/12)-2),MONTH(H73),DAY(H73)),"dd/mm/yyyy"),", ",Constants!$P$4,TEXT($H73,"dd/mm/yyyy")),IF(($I73/12)=2,_xlfn.CONCAT(Constants!$N$3,TEXT(DATE(YEAR(H73)-(($I73/12)-1),MONTH(H73),DAY(H73)),"dd/mm/yyyy"),", ",Constants!$O$3,TEXT($H73,"dd/mm/yyyy")),IF(($I73/12)=1,_xlfn.CONCAT(Constants!$N$2,TEXT($H73,"dd/mm/yyyy")),"Update Constants"))))))),"")</f>
        <v>2.5% to 31/01/2026, 1.5% to 31/01/2027</v>
      </c>
      <c r="BC73" s="147">
        <f>_xlfn.IFNA(VALUE(INDEX(Producer!$K:$K,MATCH($D73,Producer!$A:$A,0))),"")</f>
        <v>0</v>
      </c>
      <c r="BD73" s="147" t="str">
        <f>_xlfn.IFNA(INDEX(Producer!$I:$I,MATCH($D73,Producer!$A:$A,0)),"")</f>
        <v>No</v>
      </c>
      <c r="BE73" s="147" t="str">
        <f t="shared" si="36"/>
        <v>Yes</v>
      </c>
      <c r="BF73" s="147"/>
      <c r="BG73" s="147"/>
      <c r="BH73" s="151">
        <f>_xlfn.IFNA(INDEX(Constants!$B:$B,MATCH(BC73,Constants!A:A,0)),"")</f>
        <v>0</v>
      </c>
      <c r="BI73" s="147">
        <f>IF(LEFT(B73,15)="Limited Company",Constants!$D$16,IFERROR(_xlfn.IFNA(IF(C73="Residential",IF(BK73&lt;75,INDEX(Constants!$B:$B,MATCH(VALUE(60)/100,Constants!$A:$A,0)),INDEX(Constants!$B:$B,MATCH(VALUE(BK73)/100,Constants!$A:$A,0))),IF(BK73&lt;60,INDEX(Constants!$C:$C,MATCH(VALUE(60)/100,Constants!$A:$A,0)),INDEX(Constants!$C:$C,MATCH(VALUE(BK73)/100,Constants!$A:$A,0)))),""),""))</f>
        <v>1000000</v>
      </c>
      <c r="BJ73" s="147">
        <f t="shared" si="37"/>
        <v>0</v>
      </c>
      <c r="BK73" s="147">
        <f>_xlfn.IFNA(VALUE(INDEX(Producer!$E:$E,MATCH($D73,Producer!$A:$A,0)))*100,"")</f>
        <v>75</v>
      </c>
      <c r="BL73" s="146" t="str">
        <f>_xlfn.IFNA(IF(IFERROR(FIND("Part &amp; Part",B73),-10)&gt;0,"PP",IF(OR(LEFT(B73,25)="Residential Interest Only",INDEX(Producer!$P:$P,MATCH($D73,Producer!$A:$A,0))="IO",INDEX(Producer!$P:$P,MATCH($D73,Producer!$A:$A,0))="Retirement Interest Only"),"IO",IF($C73="BuyToLet","CI, IO","CI"))),"")</f>
        <v>CI, IO</v>
      </c>
      <c r="BM73" s="152">
        <f>_xlfn.IFNA(IF(BL73="IO",100%,IF(AND(INDEX(Producer!$P:$P,MATCH($D73,Producer!$A:$A,0))="Residential Interest Only Part &amp; Part",BK73=75),80%,IF(C73="BuyToLet",100%,IF(BL73="Interest Only",100%,IF(AND(INDEX(Producer!$P:$P,MATCH($D73,Producer!$A:$A,0))="Residential Interest Only Part &amp; Part",BK73=60),100%,""))))),"")</f>
        <v>1</v>
      </c>
      <c r="BN73" s="218">
        <f>_xlfn.IFNA(IF(VALUE(INDEX(Producer!$H:$H,MATCH($D73,Producer!$A:$A,0)))=0,"",VALUE(INDEX(Producer!$H:$H,MATCH($D73,Producer!$A:$A,0)))),"")</f>
        <v>999</v>
      </c>
      <c r="BO73" s="153"/>
      <c r="BP73" s="153"/>
      <c r="BQ73" s="219">
        <f t="shared" si="38"/>
        <v>35</v>
      </c>
      <c r="BR73" s="146"/>
      <c r="BS73" s="146"/>
      <c r="BT73" s="146"/>
      <c r="BU73" s="146"/>
      <c r="BV73" s="219">
        <f t="shared" si="39"/>
        <v>199</v>
      </c>
      <c r="BW73" s="146"/>
      <c r="BX73" s="146"/>
      <c r="BY73" s="146" t="str">
        <f t="shared" si="40"/>
        <v>No</v>
      </c>
      <c r="BZ73" s="146" t="str">
        <f t="shared" si="41"/>
        <v>No</v>
      </c>
      <c r="CA73" s="146" t="str">
        <f t="shared" si="42"/>
        <v>No</v>
      </c>
      <c r="CB73" s="146" t="str">
        <f t="shared" si="43"/>
        <v>No</v>
      </c>
      <c r="CC73" s="146" t="str">
        <f>_xlfn.IFNA(IF(INDEX(Producer!$P:$P,MATCH($D73,Producer!$A:$A,0))="Help to Buy","Only available","No"),"")</f>
        <v>No</v>
      </c>
      <c r="CD73" s="146" t="str">
        <f>_xlfn.IFNA(IF(INDEX(Producer!$P:$P,MATCH($D73,Producer!$A:$A,0))="Shared Ownership","Only available","No"),"")</f>
        <v>No</v>
      </c>
      <c r="CE73" s="146" t="str">
        <f>_xlfn.IFNA(IF(INDEX(Producer!$P:$P,MATCH($D73,Producer!$A:$A,0))="Right to Buy","Only available","No"),"")</f>
        <v>No</v>
      </c>
      <c r="CF73" s="146" t="str">
        <f t="shared" si="44"/>
        <v>No</v>
      </c>
      <c r="CG73" s="146" t="str">
        <f>_xlfn.IFNA(IF(INDEX(Producer!$P:$P,MATCH($D73,Producer!$A:$A,0))="Retirement Interest Only","Only available","No"),"")</f>
        <v>No</v>
      </c>
      <c r="CH73" s="146" t="str">
        <f t="shared" si="45"/>
        <v>No</v>
      </c>
      <c r="CI73" s="146" t="str">
        <f>_xlfn.IFNA(IF(INDEX(Producer!$P:$P,MATCH($D73,Producer!$A:$A,0))="Intermediary Holiday Let","Only available","No"),"")</f>
        <v>No</v>
      </c>
      <c r="CJ73" s="146" t="str">
        <f t="shared" si="46"/>
        <v>No</v>
      </c>
      <c r="CK73" s="146" t="str">
        <f>_xlfn.IFNA(IF(OR(INDEX(Producer!$P:$P,MATCH($D73,Producer!$A:$A,0))="Intermediary Small HMO",INDEX(Producer!$P:$P,MATCH($D73,Producer!$A:$A,0))="Intermediary Large HMO"),"Only available","No"),"")</f>
        <v>Only available</v>
      </c>
      <c r="CL73" s="146" t="str">
        <f t="shared" si="47"/>
        <v>Also available</v>
      </c>
      <c r="CM73" s="146" t="str">
        <f t="shared" si="48"/>
        <v>Also available</v>
      </c>
      <c r="CN73" s="146" t="str">
        <f t="shared" si="49"/>
        <v>No</v>
      </c>
      <c r="CO73" s="146" t="str">
        <f t="shared" si="50"/>
        <v>Also available</v>
      </c>
      <c r="CP73" s="146" t="str">
        <f t="shared" si="51"/>
        <v>No</v>
      </c>
      <c r="CQ73" s="146" t="str">
        <f t="shared" si="52"/>
        <v>No</v>
      </c>
      <c r="CR73" s="146" t="str">
        <f t="shared" si="53"/>
        <v>Also available</v>
      </c>
      <c r="CS73" s="146" t="str">
        <f t="shared" si="54"/>
        <v>Only available</v>
      </c>
      <c r="CT73" s="146" t="str">
        <f t="shared" si="55"/>
        <v>No</v>
      </c>
      <c r="CU73" s="146"/>
    </row>
    <row r="74" spans="1:99" ht="16.399999999999999" customHeight="1" x14ac:dyDescent="0.35">
      <c r="A74" s="145" t="str">
        <f t="shared" si="28"/>
        <v>Leeds Building Society</v>
      </c>
      <c r="B74" s="145" t="str">
        <f>_xlfn.IFNA(_xlfn.CONCAT(INDEX(Producer!$P:$P,MATCH($D74,Producer!$A:$A,0))," ",IF(INDEX(Producer!$N:$N,MATCH($D74,Producer!$A:$A,0))="Yes","Green ",""),IF(AND(INDEX(Producer!$L:$L,MATCH($D74,Producer!$A:$A,0))="No",INDEX(Producer!$C:$C,MATCH($D74,Producer!$A:$A,0))="Fixed"),"Flexit ",""),INDEX(Producer!$B:$B,MATCH($D74,Producer!$A:$A,0))," Year ",INDEX(Producer!$C:$C,MATCH($D74,Producer!$A:$A,0))," ",VALUE(INDEX(Producer!$E:$E,MATCH($D74,Producer!$A:$A,0)))*100,"% LTV",IF(INDEX(Producer!$N:$N,MATCH($D74,Producer!$A:$A,0))="Yes"," (EPC A-C)","")," - ",IF(INDEX(Producer!$D:$D,MATCH($D74,Producer!$A:$A,0))="DLY","Daily","Annual")),"")</f>
        <v>Intermediary Small HMO 2 Year Fixed 75% LTV - Daily</v>
      </c>
      <c r="C74" s="146" t="str">
        <f>_xlfn.IFNA(INDEX(Producer!$Q:$Q,MATCH($D74,Producer!$A:$A,0)),"")</f>
        <v>BuyToLet</v>
      </c>
      <c r="D74" s="146">
        <f>IFERROR(VALUE(MID(Producer!$R$2,IF($D73="",1/0,FIND(_xlfn.CONCAT($D72,$D73),Producer!$R$2)+10),5)),"")</f>
        <v>54318</v>
      </c>
      <c r="E74" s="146" t="str">
        <f t="shared" si="29"/>
        <v>Stepped Fixed</v>
      </c>
      <c r="F74" s="146"/>
      <c r="G74" s="147">
        <f>_xlfn.IFNA(VALUE(INDEX(Producer!$F:$F,MATCH($D74,Producer!$A:$A,0)))*100,"")</f>
        <v>6.54</v>
      </c>
      <c r="H74" s="216">
        <f>_xlfn.IFNA(IFERROR(DATEVALUE(INDEX(Producer!$M:$M,MATCH($D74,Producer!$A:$A,0))),(INDEX(Producer!$M:$M,MATCH($D74,Producer!$A:$A,0)))),"")</f>
        <v>46418</v>
      </c>
      <c r="I74" s="217">
        <f>_xlfn.IFNA(VALUE(INDEX(Producer!$B:$B,MATCH($D74,Producer!$A:$A,0)))*12,"")</f>
        <v>24</v>
      </c>
      <c r="J74" s="146">
        <f>_xlfn.IFNA(IF(C74="Residential",IF(VALUE(INDEX(Producer!$B:$B,MATCH($D74,Producer!$A:$A,0)))&lt;5,Constants!$C$10,""),IF(VALUE(INDEX(Producer!$B:$B,MATCH($D74,Producer!$A:$A,0)))&lt;5,Constants!$C$11,"")),"")</f>
        <v>7.54</v>
      </c>
      <c r="K74" s="216">
        <f>_xlfn.IFNA(IF(($I74)&lt;60,DATE(YEAR(H74)+(5-VALUE(INDEX(Producer!$B:$B,MATCH($D74,Producer!$A:$A,0)))),MONTH(H74),DAY(H74)),""),"")</f>
        <v>47514</v>
      </c>
      <c r="L74" s="153">
        <f t="shared" si="30"/>
        <v>36</v>
      </c>
      <c r="M74" s="146"/>
      <c r="N74" s="148"/>
      <c r="O74" s="148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>
        <f>IF(D74="","",IF(C74="Residential",Constants!$B$10,Constants!$B$11))</f>
        <v>8.5399999999999991</v>
      </c>
      <c r="AL74" s="146" t="str">
        <f t="shared" si="31"/>
        <v>BVR</v>
      </c>
      <c r="AM74" s="206" t="str">
        <f t="shared" si="32"/>
        <v/>
      </c>
      <c r="AN74" s="146">
        <f t="shared" si="33"/>
        <v>10</v>
      </c>
      <c r="AO74" s="149" t="str">
        <f t="shared" si="34"/>
        <v>Remortgage</v>
      </c>
      <c r="AP74" s="150" t="str">
        <f t="shared" si="35"/>
        <v>ProductTransfer</v>
      </c>
      <c r="AQ74" s="146">
        <f>IFERROR(_xlfn.IFNA(IF($BA74="No",0,IF(INDEX(Constants!B:B,MATCH(($I74/12),Constants!$A:$A,0))=0,0,INDEX(Constants!B:B,MATCH(($I74/12),Constants!$A:$A,0)))),0),"")</f>
        <v>2.5</v>
      </c>
      <c r="AR74" s="146">
        <f>IFERROR(_xlfn.IFNA(IF($BA74="No",0,IF(INDEX(Constants!C:C,MATCH(($I74/12),Constants!$A:$A,0))=0,0,INDEX(Constants!C:C,MATCH(($I74/12),Constants!$A:$A,0)))),0),"")</f>
        <v>1.5</v>
      </c>
      <c r="AS74" s="146">
        <f>IFERROR(_xlfn.IFNA(IF($BA74="No",0,IF(INDEX(Constants!D:D,MATCH(($I74/12),Constants!$A:$A,0))=0,0,INDEX(Constants!D:D,MATCH(($I74/12),Constants!$A:$A,0)))),0),"")</f>
        <v>0</v>
      </c>
      <c r="AT74" s="146">
        <f>IFERROR(_xlfn.IFNA(IF($BA74="No",0,IF(INDEX(Constants!E:E,MATCH(($I74/12),Constants!$A:$A,0))=0,0,INDEX(Constants!E:E,MATCH(($I74/12),Constants!$A:$A,0)))),0),"")</f>
        <v>0</v>
      </c>
      <c r="AU74" s="146">
        <f>IFERROR(_xlfn.IFNA(IF($BA74="No",0,IF(INDEX(Constants!F:F,MATCH(($I74/12),Constants!$A:$A,0))=0,0,INDEX(Constants!F:F,MATCH(($I74/12),Constants!$A:$A,0)))),0),"")</f>
        <v>0</v>
      </c>
      <c r="AV74" s="146">
        <f>IFERROR(_xlfn.IFNA(IF($BA74="No",0,IF(INDEX(Constants!G:G,MATCH(($I74/12),Constants!$A:$A,0))=0,0,INDEX(Constants!G:G,MATCH(($I74/12),Constants!$A:$A,0)))),0),"")</f>
        <v>0</v>
      </c>
      <c r="AW74" s="146">
        <f>IFERROR(_xlfn.IFNA(IF($BA74="No",0,IF(INDEX(Constants!H:H,MATCH(($I74/12),Constants!$A:$A,0))=0,0,INDEX(Constants!H:H,MATCH(($I74/12),Constants!$A:$A,0)))),0),"")</f>
        <v>0</v>
      </c>
      <c r="AX74" s="146">
        <f>IFERROR(_xlfn.IFNA(IF($BA74="No",0,IF(INDEX(Constants!I:I,MATCH(($I74/12),Constants!$A:$A,0))=0,0,INDEX(Constants!I:I,MATCH(($I74/12),Constants!$A:$A,0)))),0),"")</f>
        <v>0</v>
      </c>
      <c r="AY74" s="146">
        <f>IFERROR(_xlfn.IFNA(IF($BA74="No",0,IF(INDEX(Constants!J:J,MATCH(($I74/12),Constants!$A:$A,0))=0,0,INDEX(Constants!J:J,MATCH(($I74/12),Constants!$A:$A,0)))),0),"")</f>
        <v>0</v>
      </c>
      <c r="AZ74" s="146">
        <f>IFERROR(_xlfn.IFNA(IF($BA74="No",0,IF(INDEX(Constants!K:K,MATCH(($I74/12),Constants!$A:$A,0))=0,0,INDEX(Constants!K:K,MATCH(($I74/12),Constants!$A:$A,0)))),0),"")</f>
        <v>0</v>
      </c>
      <c r="BA74" s="147" t="str">
        <f>_xlfn.IFNA(INDEX(Producer!$L:$L,MATCH($D74,Producer!$A:$A,0)),"")</f>
        <v>Yes</v>
      </c>
      <c r="BB74" s="146" t="str">
        <f>IFERROR(IF(AQ74=0,"",IF(($I74/12)=15,_xlfn.CONCAT(Constants!$N$7,TEXT(DATE(YEAR(H74)-(($I74/12)-3),MONTH(H74),DAY(H74)),"dd/mm/yyyy"),", ",Constants!$P$7,TEXT(DATE(YEAR(H74)-(($I74/12)-8),MONTH(H74),DAY(H74)),"dd/mm/yyyy"),", ",Constants!$T$7,TEXT(DATE(YEAR(H74)-(($I74/12)-11),MONTH(H74),DAY(H74)),"dd/mm/yyyy"),", ",Constants!$V$7,TEXT(DATE(YEAR(H74)-(($I74/12)-13),MONTH(H74),DAY(H74)),"dd/mm/yyyy"),", ",Constants!$W$7,TEXT($H74,"dd/mm/yyyy")),IF(($I74/12)=10,_xlfn.CONCAT(Constants!$N$6,TEXT(DATE(YEAR(H74)-(($I74/12)-2),MONTH(H74),DAY(H74)),"dd/mm/yyyy"),", ",Constants!$P$6,TEXT(DATE(YEAR(H74)-(($I74/12)-6),MONTH(H74),DAY(H74)),"dd/mm/yyyy"),", ",Constants!$T$6,TEXT(DATE(YEAR(H74)-(($I74/12)-8),MONTH(H74),DAY(H74)),"dd/mm/yyyy"),", ",Constants!$V$6,TEXT(DATE(YEAR(H74)-(($I74/12)-9),MONTH(H74),DAY(H74)),"dd/mm/yyyy"),", ",Constants!$W$6,TEXT($H74,"dd/mm/yyyy")),IF(($I74/12)=5,_xlfn.CONCAT(Constants!$N$5,TEXT(DATE(YEAR(H74)-(($I74/12)-1),MONTH(H74),DAY(H74)),"dd/mm/yyyy"),", ",Constants!$O$5,TEXT(DATE(YEAR(H74)-(($I74/12)-2),MONTH(H74),DAY(H74)),"dd/mm/yyyy"),", ",Constants!$P$5,TEXT(DATE(YEAR(H74)-(($I74/12)-3),MONTH(H74),DAY(H74)),"dd/mm/yyyy"),", ",Constants!$Q$5,TEXT(DATE(YEAR(H74)-(($I74/12)-4),MONTH(H74),DAY(H74)),"dd/mm/yyyy"),", ",Constants!$R$5,TEXT($H74,"dd/mm/yyyy")),IF(($I74/12)=3,_xlfn.CONCAT(Constants!$N$4,TEXT(DATE(YEAR(H74)-(($I74/12)-1),MONTH(H74),DAY(H74)),"dd/mm/yyyy"),", ",Constants!$O$4,TEXT(DATE(YEAR(H74)-(($I74/12)-2),MONTH(H74),DAY(H74)),"dd/mm/yyyy"),", ",Constants!$P$4,TEXT($H74,"dd/mm/yyyy")),IF(($I74/12)=2,_xlfn.CONCAT(Constants!$N$3,TEXT(DATE(YEAR(H74)-(($I74/12)-1),MONTH(H74),DAY(H74)),"dd/mm/yyyy"),", ",Constants!$O$3,TEXT($H74,"dd/mm/yyyy")),IF(($I74/12)=1,_xlfn.CONCAT(Constants!$N$2,TEXT($H74,"dd/mm/yyyy")),"Update Constants"))))))),"")</f>
        <v>2.5% to 31/01/2026, 1.5% to 31/01/2027</v>
      </c>
      <c r="BC74" s="147">
        <f>_xlfn.IFNA(VALUE(INDEX(Producer!$K:$K,MATCH($D74,Producer!$A:$A,0))),"")</f>
        <v>0</v>
      </c>
      <c r="BD74" s="147" t="str">
        <f>_xlfn.IFNA(INDEX(Producer!$I:$I,MATCH($D74,Producer!$A:$A,0)),"")</f>
        <v>No</v>
      </c>
      <c r="BE74" s="147" t="str">
        <f t="shared" si="36"/>
        <v>Yes</v>
      </c>
      <c r="BF74" s="147"/>
      <c r="BG74" s="147"/>
      <c r="BH74" s="151">
        <f>_xlfn.IFNA(INDEX(Constants!$B:$B,MATCH(BC74,Constants!A:A,0)),"")</f>
        <v>0</v>
      </c>
      <c r="BI74" s="147">
        <f>IF(LEFT(B74,15)="Limited Company",Constants!$D$16,IFERROR(_xlfn.IFNA(IF(C74="Residential",IF(BK74&lt;75,INDEX(Constants!$B:$B,MATCH(VALUE(60)/100,Constants!$A:$A,0)),INDEX(Constants!$B:$B,MATCH(VALUE(BK74)/100,Constants!$A:$A,0))),IF(BK74&lt;60,INDEX(Constants!$C:$C,MATCH(VALUE(60)/100,Constants!$A:$A,0)),INDEX(Constants!$C:$C,MATCH(VALUE(BK74)/100,Constants!$A:$A,0)))),""),""))</f>
        <v>1000000</v>
      </c>
      <c r="BJ74" s="147">
        <f t="shared" si="37"/>
        <v>0</v>
      </c>
      <c r="BK74" s="147">
        <f>_xlfn.IFNA(VALUE(INDEX(Producer!$E:$E,MATCH($D74,Producer!$A:$A,0)))*100,"")</f>
        <v>75</v>
      </c>
      <c r="BL74" s="146" t="str">
        <f>_xlfn.IFNA(IF(IFERROR(FIND("Part &amp; Part",B74),-10)&gt;0,"PP",IF(OR(LEFT(B74,25)="Residential Interest Only",INDEX(Producer!$P:$P,MATCH($D74,Producer!$A:$A,0))="IO",INDEX(Producer!$P:$P,MATCH($D74,Producer!$A:$A,0))="Retirement Interest Only"),"IO",IF($C74="BuyToLet","CI, IO","CI"))),"")</f>
        <v>CI, IO</v>
      </c>
      <c r="BM74" s="152">
        <f>_xlfn.IFNA(IF(BL74="IO",100%,IF(AND(INDEX(Producer!$P:$P,MATCH($D74,Producer!$A:$A,0))="Residential Interest Only Part &amp; Part",BK74=75),80%,IF(C74="BuyToLet",100%,IF(BL74="Interest Only",100%,IF(AND(INDEX(Producer!$P:$P,MATCH($D74,Producer!$A:$A,0))="Residential Interest Only Part &amp; Part",BK74=60),100%,""))))),"")</f>
        <v>1</v>
      </c>
      <c r="BN74" s="218" t="str">
        <f>_xlfn.IFNA(IF(VALUE(INDEX(Producer!$H:$H,MATCH($D74,Producer!$A:$A,0)))=0,"",VALUE(INDEX(Producer!$H:$H,MATCH($D74,Producer!$A:$A,0)))),"")</f>
        <v/>
      </c>
      <c r="BO74" s="153"/>
      <c r="BP74" s="153"/>
      <c r="BQ74" s="219">
        <f t="shared" si="38"/>
        <v>35</v>
      </c>
      <c r="BR74" s="146"/>
      <c r="BS74" s="146"/>
      <c r="BT74" s="146"/>
      <c r="BU74" s="146"/>
      <c r="BV74" s="219">
        <f t="shared" si="39"/>
        <v>199</v>
      </c>
      <c r="BW74" s="146"/>
      <c r="BX74" s="146"/>
      <c r="BY74" s="146" t="str">
        <f t="shared" si="40"/>
        <v>No</v>
      </c>
      <c r="BZ74" s="146" t="str">
        <f t="shared" si="41"/>
        <v>No</v>
      </c>
      <c r="CA74" s="146" t="str">
        <f t="shared" si="42"/>
        <v>No</v>
      </c>
      <c r="CB74" s="146" t="str">
        <f t="shared" si="43"/>
        <v>No</v>
      </c>
      <c r="CC74" s="146" t="str">
        <f>_xlfn.IFNA(IF(INDEX(Producer!$P:$P,MATCH($D74,Producer!$A:$A,0))="Help to Buy","Only available","No"),"")</f>
        <v>No</v>
      </c>
      <c r="CD74" s="146" t="str">
        <f>_xlfn.IFNA(IF(INDEX(Producer!$P:$P,MATCH($D74,Producer!$A:$A,0))="Shared Ownership","Only available","No"),"")</f>
        <v>No</v>
      </c>
      <c r="CE74" s="146" t="str">
        <f>_xlfn.IFNA(IF(INDEX(Producer!$P:$P,MATCH($D74,Producer!$A:$A,0))="Right to Buy","Only available","No"),"")</f>
        <v>No</v>
      </c>
      <c r="CF74" s="146" t="str">
        <f t="shared" si="44"/>
        <v>No</v>
      </c>
      <c r="CG74" s="146" t="str">
        <f>_xlfn.IFNA(IF(INDEX(Producer!$P:$P,MATCH($D74,Producer!$A:$A,0))="Retirement Interest Only","Only available","No"),"")</f>
        <v>No</v>
      </c>
      <c r="CH74" s="146" t="str">
        <f t="shared" si="45"/>
        <v>No</v>
      </c>
      <c r="CI74" s="146" t="str">
        <f>_xlfn.IFNA(IF(INDEX(Producer!$P:$P,MATCH($D74,Producer!$A:$A,0))="Intermediary Holiday Let","Only available","No"),"")</f>
        <v>No</v>
      </c>
      <c r="CJ74" s="146" t="str">
        <f t="shared" si="46"/>
        <v>No</v>
      </c>
      <c r="CK74" s="146" t="str">
        <f>_xlfn.IFNA(IF(OR(INDEX(Producer!$P:$P,MATCH($D74,Producer!$A:$A,0))="Intermediary Small HMO",INDEX(Producer!$P:$P,MATCH($D74,Producer!$A:$A,0))="Intermediary Large HMO"),"Only available","No"),"")</f>
        <v>Only available</v>
      </c>
      <c r="CL74" s="146" t="str">
        <f t="shared" si="47"/>
        <v>Also available</v>
      </c>
      <c r="CM74" s="146" t="str">
        <f t="shared" si="48"/>
        <v>Also available</v>
      </c>
      <c r="CN74" s="146" t="str">
        <f t="shared" si="49"/>
        <v>No</v>
      </c>
      <c r="CO74" s="146" t="str">
        <f t="shared" si="50"/>
        <v>Also available</v>
      </c>
      <c r="CP74" s="146" t="str">
        <f t="shared" si="51"/>
        <v>No</v>
      </c>
      <c r="CQ74" s="146" t="str">
        <f t="shared" si="52"/>
        <v>No</v>
      </c>
      <c r="CR74" s="146" t="str">
        <f t="shared" si="53"/>
        <v>Also available</v>
      </c>
      <c r="CS74" s="146" t="str">
        <f t="shared" si="54"/>
        <v>Only available</v>
      </c>
      <c r="CT74" s="146" t="str">
        <f t="shared" si="55"/>
        <v>No</v>
      </c>
      <c r="CU74" s="146"/>
    </row>
    <row r="75" spans="1:99" ht="16.399999999999999" customHeight="1" x14ac:dyDescent="0.35">
      <c r="A75" s="145" t="str">
        <f t="shared" si="28"/>
        <v>Leeds Building Society</v>
      </c>
      <c r="B75" s="145" t="str">
        <f>_xlfn.IFNA(_xlfn.CONCAT(INDEX(Producer!$P:$P,MATCH($D75,Producer!$A:$A,0))," ",IF(INDEX(Producer!$N:$N,MATCH($D75,Producer!$A:$A,0))="Yes","Green ",""),IF(AND(INDEX(Producer!$L:$L,MATCH($D75,Producer!$A:$A,0))="No",INDEX(Producer!$C:$C,MATCH($D75,Producer!$A:$A,0))="Fixed"),"Flexit ",""),INDEX(Producer!$B:$B,MATCH($D75,Producer!$A:$A,0))," Year ",INDEX(Producer!$C:$C,MATCH($D75,Producer!$A:$A,0))," ",VALUE(INDEX(Producer!$E:$E,MATCH($D75,Producer!$A:$A,0)))*100,"% LTV",IF(INDEX(Producer!$N:$N,MATCH($D75,Producer!$A:$A,0))="Yes"," (EPC A-C)","")," - ",IF(INDEX(Producer!$D:$D,MATCH($D75,Producer!$A:$A,0))="DLY","Daily","Annual")),"")</f>
        <v>Intermediary Small HMO 2 Year Fixed 125% LTV - Daily</v>
      </c>
      <c r="C75" s="146" t="str">
        <f>_xlfn.IFNA(INDEX(Producer!$Q:$Q,MATCH($D75,Producer!$A:$A,0)),"")</f>
        <v>BuyToLet</v>
      </c>
      <c r="D75" s="146">
        <f>IFERROR(VALUE(MID(Producer!$R$2,IF($D74="",1/0,FIND(_xlfn.CONCAT($D73,$D74),Producer!$R$2)+10),5)),"")</f>
        <v>54315</v>
      </c>
      <c r="E75" s="146" t="str">
        <f t="shared" si="29"/>
        <v>Stepped Fixed</v>
      </c>
      <c r="F75" s="146"/>
      <c r="G75" s="147">
        <f>_xlfn.IFNA(VALUE(INDEX(Producer!$F:$F,MATCH($D75,Producer!$A:$A,0)))*100,"")</f>
        <v>7.59</v>
      </c>
      <c r="H75" s="216">
        <f>_xlfn.IFNA(IFERROR(DATEVALUE(INDEX(Producer!$M:$M,MATCH($D75,Producer!$A:$A,0))),(INDEX(Producer!$M:$M,MATCH($D75,Producer!$A:$A,0)))),"")</f>
        <v>46418</v>
      </c>
      <c r="I75" s="217">
        <f>_xlfn.IFNA(VALUE(INDEX(Producer!$B:$B,MATCH($D75,Producer!$A:$A,0)))*12,"")</f>
        <v>24</v>
      </c>
      <c r="J75" s="146">
        <f>_xlfn.IFNA(IF(C75="Residential",IF(VALUE(INDEX(Producer!$B:$B,MATCH($D75,Producer!$A:$A,0)))&lt;5,Constants!$C$10,""),IF(VALUE(INDEX(Producer!$B:$B,MATCH($D75,Producer!$A:$A,0)))&lt;5,Constants!$C$11,"")),"")</f>
        <v>7.54</v>
      </c>
      <c r="K75" s="216">
        <f>_xlfn.IFNA(IF(($I75)&lt;60,DATE(YEAR(H75)+(5-VALUE(INDEX(Producer!$B:$B,MATCH($D75,Producer!$A:$A,0)))),MONTH(H75),DAY(H75)),""),"")</f>
        <v>47514</v>
      </c>
      <c r="L75" s="153">
        <f t="shared" si="30"/>
        <v>36</v>
      </c>
      <c r="M75" s="146"/>
      <c r="N75" s="148"/>
      <c r="O75" s="148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>
        <f>IF(D75="","",IF(C75="Residential",Constants!$B$10,Constants!$B$11))</f>
        <v>8.5399999999999991</v>
      </c>
      <c r="AL75" s="146" t="str">
        <f t="shared" si="31"/>
        <v>BVR</v>
      </c>
      <c r="AM75" s="206" t="str">
        <f t="shared" si="32"/>
        <v/>
      </c>
      <c r="AN75" s="146">
        <f t="shared" si="33"/>
        <v>10</v>
      </c>
      <c r="AO75" s="149" t="str">
        <f t="shared" si="34"/>
        <v>Remortgage</v>
      </c>
      <c r="AP75" s="150" t="str">
        <f t="shared" si="35"/>
        <v>ProductTransfer</v>
      </c>
      <c r="AQ75" s="146">
        <f>IFERROR(_xlfn.IFNA(IF($BA75="No",0,IF(INDEX(Constants!B:B,MATCH(($I75/12),Constants!$A:$A,0))=0,0,INDEX(Constants!B:B,MATCH(($I75/12),Constants!$A:$A,0)))),0),"")</f>
        <v>2.5</v>
      </c>
      <c r="AR75" s="146">
        <f>IFERROR(_xlfn.IFNA(IF($BA75="No",0,IF(INDEX(Constants!C:C,MATCH(($I75/12),Constants!$A:$A,0))=0,0,INDEX(Constants!C:C,MATCH(($I75/12),Constants!$A:$A,0)))),0),"")</f>
        <v>1.5</v>
      </c>
      <c r="AS75" s="146">
        <f>IFERROR(_xlfn.IFNA(IF($BA75="No",0,IF(INDEX(Constants!D:D,MATCH(($I75/12),Constants!$A:$A,0))=0,0,INDEX(Constants!D:D,MATCH(($I75/12),Constants!$A:$A,0)))),0),"")</f>
        <v>0</v>
      </c>
      <c r="AT75" s="146">
        <f>IFERROR(_xlfn.IFNA(IF($BA75="No",0,IF(INDEX(Constants!E:E,MATCH(($I75/12),Constants!$A:$A,0))=0,0,INDEX(Constants!E:E,MATCH(($I75/12),Constants!$A:$A,0)))),0),"")</f>
        <v>0</v>
      </c>
      <c r="AU75" s="146">
        <f>IFERROR(_xlfn.IFNA(IF($BA75="No",0,IF(INDEX(Constants!F:F,MATCH(($I75/12),Constants!$A:$A,0))=0,0,INDEX(Constants!F:F,MATCH(($I75/12),Constants!$A:$A,0)))),0),"")</f>
        <v>0</v>
      </c>
      <c r="AV75" s="146">
        <f>IFERROR(_xlfn.IFNA(IF($BA75="No",0,IF(INDEX(Constants!G:G,MATCH(($I75/12),Constants!$A:$A,0))=0,0,INDEX(Constants!G:G,MATCH(($I75/12),Constants!$A:$A,0)))),0),"")</f>
        <v>0</v>
      </c>
      <c r="AW75" s="146">
        <f>IFERROR(_xlfn.IFNA(IF($BA75="No",0,IF(INDEX(Constants!H:H,MATCH(($I75/12),Constants!$A:$A,0))=0,0,INDEX(Constants!H:H,MATCH(($I75/12),Constants!$A:$A,0)))),0),"")</f>
        <v>0</v>
      </c>
      <c r="AX75" s="146">
        <f>IFERROR(_xlfn.IFNA(IF($BA75="No",0,IF(INDEX(Constants!I:I,MATCH(($I75/12),Constants!$A:$A,0))=0,0,INDEX(Constants!I:I,MATCH(($I75/12),Constants!$A:$A,0)))),0),"")</f>
        <v>0</v>
      </c>
      <c r="AY75" s="146">
        <f>IFERROR(_xlfn.IFNA(IF($BA75="No",0,IF(INDEX(Constants!J:J,MATCH(($I75/12),Constants!$A:$A,0))=0,0,INDEX(Constants!J:J,MATCH(($I75/12),Constants!$A:$A,0)))),0),"")</f>
        <v>0</v>
      </c>
      <c r="AZ75" s="146">
        <f>IFERROR(_xlfn.IFNA(IF($BA75="No",0,IF(INDEX(Constants!K:K,MATCH(($I75/12),Constants!$A:$A,0))=0,0,INDEX(Constants!K:K,MATCH(($I75/12),Constants!$A:$A,0)))),0),"")</f>
        <v>0</v>
      </c>
      <c r="BA75" s="147" t="str">
        <f>_xlfn.IFNA(INDEX(Producer!$L:$L,MATCH($D75,Producer!$A:$A,0)),"")</f>
        <v>Yes</v>
      </c>
      <c r="BB75" s="146" t="str">
        <f>IFERROR(IF(AQ75=0,"",IF(($I75/12)=15,_xlfn.CONCAT(Constants!$N$7,TEXT(DATE(YEAR(H75)-(($I75/12)-3),MONTH(H75),DAY(H75)),"dd/mm/yyyy"),", ",Constants!$P$7,TEXT(DATE(YEAR(H75)-(($I75/12)-8),MONTH(H75),DAY(H75)),"dd/mm/yyyy"),", ",Constants!$T$7,TEXT(DATE(YEAR(H75)-(($I75/12)-11),MONTH(H75),DAY(H75)),"dd/mm/yyyy"),", ",Constants!$V$7,TEXT(DATE(YEAR(H75)-(($I75/12)-13),MONTH(H75),DAY(H75)),"dd/mm/yyyy"),", ",Constants!$W$7,TEXT($H75,"dd/mm/yyyy")),IF(($I75/12)=10,_xlfn.CONCAT(Constants!$N$6,TEXT(DATE(YEAR(H75)-(($I75/12)-2),MONTH(H75),DAY(H75)),"dd/mm/yyyy"),", ",Constants!$P$6,TEXT(DATE(YEAR(H75)-(($I75/12)-6),MONTH(H75),DAY(H75)),"dd/mm/yyyy"),", ",Constants!$T$6,TEXT(DATE(YEAR(H75)-(($I75/12)-8),MONTH(H75),DAY(H75)),"dd/mm/yyyy"),", ",Constants!$V$6,TEXT(DATE(YEAR(H75)-(($I75/12)-9),MONTH(H75),DAY(H75)),"dd/mm/yyyy"),", ",Constants!$W$6,TEXT($H75,"dd/mm/yyyy")),IF(($I75/12)=5,_xlfn.CONCAT(Constants!$N$5,TEXT(DATE(YEAR(H75)-(($I75/12)-1),MONTH(H75),DAY(H75)),"dd/mm/yyyy"),", ",Constants!$O$5,TEXT(DATE(YEAR(H75)-(($I75/12)-2),MONTH(H75),DAY(H75)),"dd/mm/yyyy"),", ",Constants!$P$5,TEXT(DATE(YEAR(H75)-(($I75/12)-3),MONTH(H75),DAY(H75)),"dd/mm/yyyy"),", ",Constants!$Q$5,TEXT(DATE(YEAR(H75)-(($I75/12)-4),MONTH(H75),DAY(H75)),"dd/mm/yyyy"),", ",Constants!$R$5,TEXT($H75,"dd/mm/yyyy")),IF(($I75/12)=3,_xlfn.CONCAT(Constants!$N$4,TEXT(DATE(YEAR(H75)-(($I75/12)-1),MONTH(H75),DAY(H75)),"dd/mm/yyyy"),", ",Constants!$O$4,TEXT(DATE(YEAR(H75)-(($I75/12)-2),MONTH(H75),DAY(H75)),"dd/mm/yyyy"),", ",Constants!$P$4,TEXT($H75,"dd/mm/yyyy")),IF(($I75/12)=2,_xlfn.CONCAT(Constants!$N$3,TEXT(DATE(YEAR(H75)-(($I75/12)-1),MONTH(H75),DAY(H75)),"dd/mm/yyyy"),", ",Constants!$O$3,TEXT($H75,"dd/mm/yyyy")),IF(($I75/12)=1,_xlfn.CONCAT(Constants!$N$2,TEXT($H75,"dd/mm/yyyy")),"Update Constants"))))))),"")</f>
        <v>2.5% to 31/01/2026, 1.5% to 31/01/2027</v>
      </c>
      <c r="BC75" s="147">
        <f>_xlfn.IFNA(VALUE(INDEX(Producer!$K:$K,MATCH($D75,Producer!$A:$A,0))),"")</f>
        <v>0</v>
      </c>
      <c r="BD75" s="147" t="str">
        <f>_xlfn.IFNA(INDEX(Producer!$I:$I,MATCH($D75,Producer!$A:$A,0)),"")</f>
        <v>No</v>
      </c>
      <c r="BE75" s="147" t="str">
        <f t="shared" si="36"/>
        <v>Yes</v>
      </c>
      <c r="BF75" s="147"/>
      <c r="BG75" s="147"/>
      <c r="BH75" s="151">
        <f>_xlfn.IFNA(INDEX(Constants!$B:$B,MATCH(BC75,Constants!A:A,0)),"")</f>
        <v>0</v>
      </c>
      <c r="BI75" s="147" t="str">
        <f>IF(LEFT(B75,15)="Limited Company",Constants!$D$16,IFERROR(_xlfn.IFNA(IF(C75="Residential",IF(BK75&lt;75,INDEX(Constants!$B:$B,MATCH(VALUE(60)/100,Constants!$A:$A,0)),INDEX(Constants!$B:$B,MATCH(VALUE(BK75)/100,Constants!$A:$A,0))),IF(BK75&lt;60,INDEX(Constants!$C:$C,MATCH(VALUE(60)/100,Constants!$A:$A,0)),INDEX(Constants!$C:$C,MATCH(VALUE(BK75)/100,Constants!$A:$A,0)))),""),""))</f>
        <v/>
      </c>
      <c r="BJ75" s="147">
        <f t="shared" si="37"/>
        <v>0</v>
      </c>
      <c r="BK75" s="147">
        <f>_xlfn.IFNA(VALUE(INDEX(Producer!$E:$E,MATCH($D75,Producer!$A:$A,0)))*100,"")</f>
        <v>125</v>
      </c>
      <c r="BL75" s="146" t="str">
        <f>_xlfn.IFNA(IF(IFERROR(FIND("Part &amp; Part",B75),-10)&gt;0,"PP",IF(OR(LEFT(B75,25)="Residential Interest Only",INDEX(Producer!$P:$P,MATCH($D75,Producer!$A:$A,0))="IO",INDEX(Producer!$P:$P,MATCH($D75,Producer!$A:$A,0))="Retirement Interest Only"),"IO",IF($C75="BuyToLet","CI, IO","CI"))),"")</f>
        <v>CI, IO</v>
      </c>
      <c r="BM75" s="152">
        <f>_xlfn.IFNA(IF(BL75="IO",100%,IF(AND(INDEX(Producer!$P:$P,MATCH($D75,Producer!$A:$A,0))="Residential Interest Only Part &amp; Part",BK75=75),80%,IF(C75="BuyToLet",100%,IF(BL75="Interest Only",100%,IF(AND(INDEX(Producer!$P:$P,MATCH($D75,Producer!$A:$A,0))="Residential Interest Only Part &amp; Part",BK75=60),100%,""))))),"")</f>
        <v>1</v>
      </c>
      <c r="BN75" s="218" t="str">
        <f>_xlfn.IFNA(IF(VALUE(INDEX(Producer!$H:$H,MATCH($D75,Producer!$A:$A,0)))=0,"",VALUE(INDEX(Producer!$H:$H,MATCH($D75,Producer!$A:$A,0)))),"")</f>
        <v/>
      </c>
      <c r="BO75" s="153"/>
      <c r="BP75" s="153"/>
      <c r="BQ75" s="219">
        <f t="shared" si="38"/>
        <v>35</v>
      </c>
      <c r="BR75" s="146"/>
      <c r="BS75" s="146"/>
      <c r="BT75" s="146"/>
      <c r="BU75" s="146"/>
      <c r="BV75" s="219">
        <f t="shared" si="39"/>
        <v>199</v>
      </c>
      <c r="BW75" s="146"/>
      <c r="BX75" s="146"/>
      <c r="BY75" s="146" t="str">
        <f t="shared" si="40"/>
        <v>No</v>
      </c>
      <c r="BZ75" s="146" t="str">
        <f t="shared" si="41"/>
        <v>No</v>
      </c>
      <c r="CA75" s="146" t="str">
        <f t="shared" si="42"/>
        <v>No</v>
      </c>
      <c r="CB75" s="146" t="str">
        <f t="shared" si="43"/>
        <v>No</v>
      </c>
      <c r="CC75" s="146" t="str">
        <f>_xlfn.IFNA(IF(INDEX(Producer!$P:$P,MATCH($D75,Producer!$A:$A,0))="Help to Buy","Only available","No"),"")</f>
        <v>No</v>
      </c>
      <c r="CD75" s="146" t="str">
        <f>_xlfn.IFNA(IF(INDEX(Producer!$P:$P,MATCH($D75,Producer!$A:$A,0))="Shared Ownership","Only available","No"),"")</f>
        <v>No</v>
      </c>
      <c r="CE75" s="146" t="str">
        <f>_xlfn.IFNA(IF(INDEX(Producer!$P:$P,MATCH($D75,Producer!$A:$A,0))="Right to Buy","Only available","No"),"")</f>
        <v>No</v>
      </c>
      <c r="CF75" s="146" t="str">
        <f t="shared" si="44"/>
        <v>No</v>
      </c>
      <c r="CG75" s="146" t="str">
        <f>_xlfn.IFNA(IF(INDEX(Producer!$P:$P,MATCH($D75,Producer!$A:$A,0))="Retirement Interest Only","Only available","No"),"")</f>
        <v>No</v>
      </c>
      <c r="CH75" s="146" t="str">
        <f t="shared" si="45"/>
        <v>No</v>
      </c>
      <c r="CI75" s="146" t="str">
        <f>_xlfn.IFNA(IF(INDEX(Producer!$P:$P,MATCH($D75,Producer!$A:$A,0))="Intermediary Holiday Let","Only available","No"),"")</f>
        <v>No</v>
      </c>
      <c r="CJ75" s="146" t="str">
        <f t="shared" si="46"/>
        <v>No</v>
      </c>
      <c r="CK75" s="146" t="str">
        <f>_xlfn.IFNA(IF(OR(INDEX(Producer!$P:$P,MATCH($D75,Producer!$A:$A,0))="Intermediary Small HMO",INDEX(Producer!$P:$P,MATCH($D75,Producer!$A:$A,0))="Intermediary Large HMO"),"Only available","No"),"")</f>
        <v>Only available</v>
      </c>
      <c r="CL75" s="146" t="str">
        <f t="shared" si="47"/>
        <v>Also available</v>
      </c>
      <c r="CM75" s="146" t="str">
        <f t="shared" si="48"/>
        <v>Also available</v>
      </c>
      <c r="CN75" s="146" t="str">
        <f t="shared" si="49"/>
        <v>No</v>
      </c>
      <c r="CO75" s="146" t="str">
        <f t="shared" si="50"/>
        <v>No</v>
      </c>
      <c r="CP75" s="146" t="str">
        <f t="shared" si="51"/>
        <v>No</v>
      </c>
      <c r="CQ75" s="146" t="str">
        <f t="shared" si="52"/>
        <v>No</v>
      </c>
      <c r="CR75" s="146" t="str">
        <f t="shared" si="53"/>
        <v>Also available</v>
      </c>
      <c r="CS75" s="146" t="str">
        <f t="shared" si="54"/>
        <v>Only available</v>
      </c>
      <c r="CT75" s="146" t="str">
        <f t="shared" si="55"/>
        <v>No</v>
      </c>
      <c r="CU75" s="146"/>
    </row>
    <row r="76" spans="1:99" ht="16.399999999999999" customHeight="1" x14ac:dyDescent="0.35">
      <c r="A76" s="145" t="str">
        <f t="shared" si="28"/>
        <v>Leeds Building Society</v>
      </c>
      <c r="B76" s="145" t="str">
        <f>_xlfn.IFNA(_xlfn.CONCAT(INDEX(Producer!$P:$P,MATCH($D76,Producer!$A:$A,0))," ",IF(INDEX(Producer!$N:$N,MATCH($D76,Producer!$A:$A,0))="Yes","Green ",""),IF(AND(INDEX(Producer!$L:$L,MATCH($D76,Producer!$A:$A,0))="No",INDEX(Producer!$C:$C,MATCH($D76,Producer!$A:$A,0))="Fixed"),"Flexit ",""),INDEX(Producer!$B:$B,MATCH($D76,Producer!$A:$A,0))," Year ",INDEX(Producer!$C:$C,MATCH($D76,Producer!$A:$A,0))," ",VALUE(INDEX(Producer!$E:$E,MATCH($D76,Producer!$A:$A,0)))*100,"% LTV",IF(INDEX(Producer!$N:$N,MATCH($D76,Producer!$A:$A,0))="Yes"," (EPC A-C)","")," - ",IF(INDEX(Producer!$D:$D,MATCH($D76,Producer!$A:$A,0))="DLY","Daily","Annual")),"")</f>
        <v>Intermediary Small HMO 5 Year Fixed 75% LTV - Daily</v>
      </c>
      <c r="C76" s="146" t="str">
        <f>_xlfn.IFNA(INDEX(Producer!$Q:$Q,MATCH($D76,Producer!$A:$A,0)),"")</f>
        <v>BuyToLet</v>
      </c>
      <c r="D76" s="146">
        <f>IFERROR(VALUE(MID(Producer!$R$2,IF($D75="",1/0,FIND(_xlfn.CONCAT($D74,$D75),Producer!$R$2)+10),5)),"")</f>
        <v>54317</v>
      </c>
      <c r="E76" s="146" t="str">
        <f t="shared" si="29"/>
        <v>Fixed</v>
      </c>
      <c r="F76" s="146"/>
      <c r="G76" s="147">
        <f>_xlfn.IFNA(VALUE(INDEX(Producer!$F:$F,MATCH($D76,Producer!$A:$A,0)))*100,"")</f>
        <v>5.79</v>
      </c>
      <c r="H76" s="216">
        <f>_xlfn.IFNA(IFERROR(DATEVALUE(INDEX(Producer!$M:$M,MATCH($D76,Producer!$A:$A,0))),(INDEX(Producer!$M:$M,MATCH($D76,Producer!$A:$A,0)))),"")</f>
        <v>47514</v>
      </c>
      <c r="I76" s="217">
        <f>_xlfn.IFNA(VALUE(INDEX(Producer!$B:$B,MATCH($D76,Producer!$A:$A,0)))*12,"")</f>
        <v>60</v>
      </c>
      <c r="J76" s="146" t="str">
        <f>_xlfn.IFNA(IF(C76="Residential",IF(VALUE(INDEX(Producer!$B:$B,MATCH($D76,Producer!$A:$A,0)))&lt;5,Constants!$C$10,""),IF(VALUE(INDEX(Producer!$B:$B,MATCH($D76,Producer!$A:$A,0)))&lt;5,Constants!$C$11,"")),"")</f>
        <v/>
      </c>
      <c r="K76" s="216" t="str">
        <f>_xlfn.IFNA(IF(($I76)&lt;60,DATE(YEAR(H76)+(5-VALUE(INDEX(Producer!$B:$B,MATCH($D76,Producer!$A:$A,0)))),MONTH(H76),DAY(H76)),""),"")</f>
        <v/>
      </c>
      <c r="L76" s="153" t="str">
        <f t="shared" si="30"/>
        <v/>
      </c>
      <c r="M76" s="146"/>
      <c r="N76" s="148"/>
      <c r="O76" s="148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>
        <f>IF(D76="","",IF(C76="Residential",Constants!$B$10,Constants!$B$11))</f>
        <v>8.5399999999999991</v>
      </c>
      <c r="AL76" s="146" t="str">
        <f t="shared" si="31"/>
        <v>BVR</v>
      </c>
      <c r="AM76" s="206" t="str">
        <f t="shared" si="32"/>
        <v/>
      </c>
      <c r="AN76" s="146">
        <f t="shared" si="33"/>
        <v>10</v>
      </c>
      <c r="AO76" s="149" t="str">
        <f t="shared" si="34"/>
        <v>Remortgage</v>
      </c>
      <c r="AP76" s="150" t="str">
        <f t="shared" si="35"/>
        <v>ProductTransfer</v>
      </c>
      <c r="AQ76" s="146">
        <f>IFERROR(_xlfn.IFNA(IF($BA76="No",0,IF(INDEX(Constants!B:B,MATCH(($I76/12),Constants!$A:$A,0))=0,0,INDEX(Constants!B:B,MATCH(($I76/12),Constants!$A:$A,0)))),0),"")</f>
        <v>5</v>
      </c>
      <c r="AR76" s="146">
        <f>IFERROR(_xlfn.IFNA(IF($BA76="No",0,IF(INDEX(Constants!C:C,MATCH(($I76/12),Constants!$A:$A,0))=0,0,INDEX(Constants!C:C,MATCH(($I76/12),Constants!$A:$A,0)))),0),"")</f>
        <v>5</v>
      </c>
      <c r="AS76" s="146">
        <f>IFERROR(_xlfn.IFNA(IF($BA76="No",0,IF(INDEX(Constants!D:D,MATCH(($I76/12),Constants!$A:$A,0))=0,0,INDEX(Constants!D:D,MATCH(($I76/12),Constants!$A:$A,0)))),0),"")</f>
        <v>4</v>
      </c>
      <c r="AT76" s="146">
        <f>IFERROR(_xlfn.IFNA(IF($BA76="No",0,IF(INDEX(Constants!E:E,MATCH(($I76/12),Constants!$A:$A,0))=0,0,INDEX(Constants!E:E,MATCH(($I76/12),Constants!$A:$A,0)))),0),"")</f>
        <v>3</v>
      </c>
      <c r="AU76" s="146">
        <f>IFERROR(_xlfn.IFNA(IF($BA76="No",0,IF(INDEX(Constants!F:F,MATCH(($I76/12),Constants!$A:$A,0))=0,0,INDEX(Constants!F:F,MATCH(($I76/12),Constants!$A:$A,0)))),0),"")</f>
        <v>2</v>
      </c>
      <c r="AV76" s="146">
        <f>IFERROR(_xlfn.IFNA(IF($BA76="No",0,IF(INDEX(Constants!G:G,MATCH(($I76/12),Constants!$A:$A,0))=0,0,INDEX(Constants!G:G,MATCH(($I76/12),Constants!$A:$A,0)))),0),"")</f>
        <v>0</v>
      </c>
      <c r="AW76" s="146">
        <f>IFERROR(_xlfn.IFNA(IF($BA76="No",0,IF(INDEX(Constants!H:H,MATCH(($I76/12),Constants!$A:$A,0))=0,0,INDEX(Constants!H:H,MATCH(($I76/12),Constants!$A:$A,0)))),0),"")</f>
        <v>0</v>
      </c>
      <c r="AX76" s="146">
        <f>IFERROR(_xlfn.IFNA(IF($BA76="No",0,IF(INDEX(Constants!I:I,MATCH(($I76/12),Constants!$A:$A,0))=0,0,INDEX(Constants!I:I,MATCH(($I76/12),Constants!$A:$A,0)))),0),"")</f>
        <v>0</v>
      </c>
      <c r="AY76" s="146">
        <f>IFERROR(_xlfn.IFNA(IF($BA76="No",0,IF(INDEX(Constants!J:J,MATCH(($I76/12),Constants!$A:$A,0))=0,0,INDEX(Constants!J:J,MATCH(($I76/12),Constants!$A:$A,0)))),0),"")</f>
        <v>0</v>
      </c>
      <c r="AZ76" s="146">
        <f>IFERROR(_xlfn.IFNA(IF($BA76="No",0,IF(INDEX(Constants!K:K,MATCH(($I76/12),Constants!$A:$A,0))=0,0,INDEX(Constants!K:K,MATCH(($I76/12),Constants!$A:$A,0)))),0),"")</f>
        <v>0</v>
      </c>
      <c r="BA76" s="147" t="str">
        <f>_xlfn.IFNA(INDEX(Producer!$L:$L,MATCH($D76,Producer!$A:$A,0)),"")</f>
        <v>Yes</v>
      </c>
      <c r="BB76" s="146" t="str">
        <f>IFERROR(IF(AQ76=0,"",IF(($I76/12)=15,_xlfn.CONCAT(Constants!$N$7,TEXT(DATE(YEAR(H76)-(($I76/12)-3),MONTH(H76),DAY(H76)),"dd/mm/yyyy"),", ",Constants!$P$7,TEXT(DATE(YEAR(H76)-(($I76/12)-8),MONTH(H76),DAY(H76)),"dd/mm/yyyy"),", ",Constants!$T$7,TEXT(DATE(YEAR(H76)-(($I76/12)-11),MONTH(H76),DAY(H76)),"dd/mm/yyyy"),", ",Constants!$V$7,TEXT(DATE(YEAR(H76)-(($I76/12)-13),MONTH(H76),DAY(H76)),"dd/mm/yyyy"),", ",Constants!$W$7,TEXT($H76,"dd/mm/yyyy")),IF(($I76/12)=10,_xlfn.CONCAT(Constants!$N$6,TEXT(DATE(YEAR(H76)-(($I76/12)-2),MONTH(H76),DAY(H76)),"dd/mm/yyyy"),", ",Constants!$P$6,TEXT(DATE(YEAR(H76)-(($I76/12)-6),MONTH(H76),DAY(H76)),"dd/mm/yyyy"),", ",Constants!$T$6,TEXT(DATE(YEAR(H76)-(($I76/12)-8),MONTH(H76),DAY(H76)),"dd/mm/yyyy"),", ",Constants!$V$6,TEXT(DATE(YEAR(H76)-(($I76/12)-9),MONTH(H76),DAY(H76)),"dd/mm/yyyy"),", ",Constants!$W$6,TEXT($H76,"dd/mm/yyyy")),IF(($I76/12)=5,_xlfn.CONCAT(Constants!$N$5,TEXT(DATE(YEAR(H76)-(($I76/12)-1),MONTH(H76),DAY(H76)),"dd/mm/yyyy"),", ",Constants!$O$5,TEXT(DATE(YEAR(H76)-(($I76/12)-2),MONTH(H76),DAY(H76)),"dd/mm/yyyy"),", ",Constants!$P$5,TEXT(DATE(YEAR(H76)-(($I76/12)-3),MONTH(H76),DAY(H76)),"dd/mm/yyyy"),", ",Constants!$Q$5,TEXT(DATE(YEAR(H76)-(($I76/12)-4),MONTH(H76),DAY(H76)),"dd/mm/yyyy"),", ",Constants!$R$5,TEXT($H76,"dd/mm/yyyy")),IF(($I76/12)=3,_xlfn.CONCAT(Constants!$N$4,TEXT(DATE(YEAR(H76)-(($I76/12)-1),MONTH(H76),DAY(H76)),"dd/mm/yyyy"),", ",Constants!$O$4,TEXT(DATE(YEAR(H76)-(($I76/12)-2),MONTH(H76),DAY(H76)),"dd/mm/yyyy"),", ",Constants!$P$4,TEXT($H76,"dd/mm/yyyy")),IF(($I76/12)=2,_xlfn.CONCAT(Constants!$N$3,TEXT(DATE(YEAR(H76)-(($I76/12)-1),MONTH(H76),DAY(H76)),"dd/mm/yyyy"),", ",Constants!$O$3,TEXT($H76,"dd/mm/yyyy")),IF(($I76/12)=1,_xlfn.CONCAT(Constants!$N$2,TEXT($H76,"dd/mm/yyyy")),"Update Constants"))))))),"")</f>
        <v>5% to 31/01/2026, 5% to 31/01/2027, 4% to 31/01/2028, 3% to 31/01/2029, 2% to 31/01/2030</v>
      </c>
      <c r="BC76" s="147">
        <f>_xlfn.IFNA(VALUE(INDEX(Producer!$K:$K,MATCH($D76,Producer!$A:$A,0))),"")</f>
        <v>0</v>
      </c>
      <c r="BD76" s="147" t="str">
        <f>_xlfn.IFNA(INDEX(Producer!$I:$I,MATCH($D76,Producer!$A:$A,0)),"")</f>
        <v>No</v>
      </c>
      <c r="BE76" s="147" t="str">
        <f t="shared" si="36"/>
        <v>Yes</v>
      </c>
      <c r="BF76" s="147"/>
      <c r="BG76" s="147"/>
      <c r="BH76" s="151">
        <f>_xlfn.IFNA(INDEX(Constants!$B:$B,MATCH(BC76,Constants!A:A,0)),"")</f>
        <v>0</v>
      </c>
      <c r="BI76" s="147">
        <f>IF(LEFT(B76,15)="Limited Company",Constants!$D$16,IFERROR(_xlfn.IFNA(IF(C76="Residential",IF(BK76&lt;75,INDEX(Constants!$B:$B,MATCH(VALUE(60)/100,Constants!$A:$A,0)),INDEX(Constants!$B:$B,MATCH(VALUE(BK76)/100,Constants!$A:$A,0))),IF(BK76&lt;60,INDEX(Constants!$C:$C,MATCH(VALUE(60)/100,Constants!$A:$A,0)),INDEX(Constants!$C:$C,MATCH(VALUE(BK76)/100,Constants!$A:$A,0)))),""),""))</f>
        <v>1000000</v>
      </c>
      <c r="BJ76" s="147">
        <f t="shared" si="37"/>
        <v>0</v>
      </c>
      <c r="BK76" s="147">
        <f>_xlfn.IFNA(VALUE(INDEX(Producer!$E:$E,MATCH($D76,Producer!$A:$A,0)))*100,"")</f>
        <v>75</v>
      </c>
      <c r="BL76" s="146" t="str">
        <f>_xlfn.IFNA(IF(IFERROR(FIND("Part &amp; Part",B76),-10)&gt;0,"PP",IF(OR(LEFT(B76,25)="Residential Interest Only",INDEX(Producer!$P:$P,MATCH($D76,Producer!$A:$A,0))="IO",INDEX(Producer!$P:$P,MATCH($D76,Producer!$A:$A,0))="Retirement Interest Only"),"IO",IF($C76="BuyToLet","CI, IO","CI"))),"")</f>
        <v>CI, IO</v>
      </c>
      <c r="BM76" s="152">
        <f>_xlfn.IFNA(IF(BL76="IO",100%,IF(AND(INDEX(Producer!$P:$P,MATCH($D76,Producer!$A:$A,0))="Residential Interest Only Part &amp; Part",BK76=75),80%,IF(C76="BuyToLet",100%,IF(BL76="Interest Only",100%,IF(AND(INDEX(Producer!$P:$P,MATCH($D76,Producer!$A:$A,0))="Residential Interest Only Part &amp; Part",BK76=60),100%,""))))),"")</f>
        <v>1</v>
      </c>
      <c r="BN76" s="218">
        <f>_xlfn.IFNA(IF(VALUE(INDEX(Producer!$H:$H,MATCH($D76,Producer!$A:$A,0)))=0,"",VALUE(INDEX(Producer!$H:$H,MATCH($D76,Producer!$A:$A,0)))),"")</f>
        <v>999</v>
      </c>
      <c r="BO76" s="153"/>
      <c r="BP76" s="153"/>
      <c r="BQ76" s="219">
        <f t="shared" si="38"/>
        <v>35</v>
      </c>
      <c r="BR76" s="146"/>
      <c r="BS76" s="146"/>
      <c r="BT76" s="146"/>
      <c r="BU76" s="146"/>
      <c r="BV76" s="219">
        <f t="shared" si="39"/>
        <v>199</v>
      </c>
      <c r="BW76" s="146"/>
      <c r="BX76" s="146"/>
      <c r="BY76" s="146" t="str">
        <f t="shared" si="40"/>
        <v>No</v>
      </c>
      <c r="BZ76" s="146" t="str">
        <f t="shared" si="41"/>
        <v>No</v>
      </c>
      <c r="CA76" s="146" t="str">
        <f t="shared" si="42"/>
        <v>No</v>
      </c>
      <c r="CB76" s="146" t="str">
        <f t="shared" si="43"/>
        <v>No</v>
      </c>
      <c r="CC76" s="146" t="str">
        <f>_xlfn.IFNA(IF(INDEX(Producer!$P:$P,MATCH($D76,Producer!$A:$A,0))="Help to Buy","Only available","No"),"")</f>
        <v>No</v>
      </c>
      <c r="CD76" s="146" t="str">
        <f>_xlfn.IFNA(IF(INDEX(Producer!$P:$P,MATCH($D76,Producer!$A:$A,0))="Shared Ownership","Only available","No"),"")</f>
        <v>No</v>
      </c>
      <c r="CE76" s="146" t="str">
        <f>_xlfn.IFNA(IF(INDEX(Producer!$P:$P,MATCH($D76,Producer!$A:$A,0))="Right to Buy","Only available","No"),"")</f>
        <v>No</v>
      </c>
      <c r="CF76" s="146" t="str">
        <f t="shared" si="44"/>
        <v>No</v>
      </c>
      <c r="CG76" s="146" t="str">
        <f>_xlfn.IFNA(IF(INDEX(Producer!$P:$P,MATCH($D76,Producer!$A:$A,0))="Retirement Interest Only","Only available","No"),"")</f>
        <v>No</v>
      </c>
      <c r="CH76" s="146" t="str">
        <f t="shared" si="45"/>
        <v>No</v>
      </c>
      <c r="CI76" s="146" t="str">
        <f>_xlfn.IFNA(IF(INDEX(Producer!$P:$P,MATCH($D76,Producer!$A:$A,0))="Intermediary Holiday Let","Only available","No"),"")</f>
        <v>No</v>
      </c>
      <c r="CJ76" s="146" t="str">
        <f t="shared" si="46"/>
        <v>No</v>
      </c>
      <c r="CK76" s="146" t="str">
        <f>_xlfn.IFNA(IF(OR(INDEX(Producer!$P:$P,MATCH($D76,Producer!$A:$A,0))="Intermediary Small HMO",INDEX(Producer!$P:$P,MATCH($D76,Producer!$A:$A,0))="Intermediary Large HMO"),"Only available","No"),"")</f>
        <v>Only available</v>
      </c>
      <c r="CL76" s="146" t="str">
        <f t="shared" si="47"/>
        <v>Also available</v>
      </c>
      <c r="CM76" s="146" t="str">
        <f t="shared" si="48"/>
        <v>Also available</v>
      </c>
      <c r="CN76" s="146" t="str">
        <f t="shared" si="49"/>
        <v>No</v>
      </c>
      <c r="CO76" s="146" t="str">
        <f t="shared" si="50"/>
        <v>Also available</v>
      </c>
      <c r="CP76" s="146" t="str">
        <f t="shared" si="51"/>
        <v>No</v>
      </c>
      <c r="CQ76" s="146" t="str">
        <f t="shared" si="52"/>
        <v>No</v>
      </c>
      <c r="CR76" s="146" t="str">
        <f t="shared" si="53"/>
        <v>Also available</v>
      </c>
      <c r="CS76" s="146" t="str">
        <f t="shared" si="54"/>
        <v>Only available</v>
      </c>
      <c r="CT76" s="146" t="str">
        <f t="shared" si="55"/>
        <v>No</v>
      </c>
      <c r="CU76" s="146"/>
    </row>
    <row r="77" spans="1:99" ht="16.399999999999999" customHeight="1" x14ac:dyDescent="0.35">
      <c r="A77" s="145" t="str">
        <f t="shared" si="28"/>
        <v>Leeds Building Society</v>
      </c>
      <c r="B77" s="145" t="str">
        <f>_xlfn.IFNA(_xlfn.CONCAT(INDEX(Producer!$P:$P,MATCH($D77,Producer!$A:$A,0))," ",IF(INDEX(Producer!$N:$N,MATCH($D77,Producer!$A:$A,0))="Yes","Green ",""),IF(AND(INDEX(Producer!$L:$L,MATCH($D77,Producer!$A:$A,0))="No",INDEX(Producer!$C:$C,MATCH($D77,Producer!$A:$A,0))="Fixed"),"Flexit ",""),INDEX(Producer!$B:$B,MATCH($D77,Producer!$A:$A,0))," Year ",INDEX(Producer!$C:$C,MATCH($D77,Producer!$A:$A,0))," ",VALUE(INDEX(Producer!$E:$E,MATCH($D77,Producer!$A:$A,0)))*100,"% LTV",IF(INDEX(Producer!$N:$N,MATCH($D77,Producer!$A:$A,0))="Yes"," (EPC A-C)","")," - ",IF(INDEX(Producer!$D:$D,MATCH($D77,Producer!$A:$A,0))="DLY","Daily","Annual")),"")</f>
        <v>Intermediary Small HMO 5 Year Fixed 75% LTV - Daily</v>
      </c>
      <c r="C77" s="146" t="str">
        <f>_xlfn.IFNA(INDEX(Producer!$Q:$Q,MATCH($D77,Producer!$A:$A,0)),"")</f>
        <v>BuyToLet</v>
      </c>
      <c r="D77" s="146">
        <f>IFERROR(VALUE(MID(Producer!$R$2,IF($D76="",1/0,FIND(_xlfn.CONCAT($D75,$D76),Producer!$R$2)+10),5)),"")</f>
        <v>54314</v>
      </c>
      <c r="E77" s="146" t="str">
        <f t="shared" si="29"/>
        <v>Fixed</v>
      </c>
      <c r="F77" s="146"/>
      <c r="G77" s="147">
        <f>_xlfn.IFNA(VALUE(INDEX(Producer!$F:$F,MATCH($D77,Producer!$A:$A,0)))*100,"")</f>
        <v>5.99</v>
      </c>
      <c r="H77" s="216">
        <f>_xlfn.IFNA(IFERROR(DATEVALUE(INDEX(Producer!$M:$M,MATCH($D77,Producer!$A:$A,0))),(INDEX(Producer!$M:$M,MATCH($D77,Producer!$A:$A,0)))),"")</f>
        <v>47514</v>
      </c>
      <c r="I77" s="217">
        <f>_xlfn.IFNA(VALUE(INDEX(Producer!$B:$B,MATCH($D77,Producer!$A:$A,0)))*12,"")</f>
        <v>60</v>
      </c>
      <c r="J77" s="146" t="str">
        <f>_xlfn.IFNA(IF(C77="Residential",IF(VALUE(INDEX(Producer!$B:$B,MATCH($D77,Producer!$A:$A,0)))&lt;5,Constants!$C$10,""),IF(VALUE(INDEX(Producer!$B:$B,MATCH($D77,Producer!$A:$A,0)))&lt;5,Constants!$C$11,"")),"")</f>
        <v/>
      </c>
      <c r="K77" s="216" t="str">
        <f>_xlfn.IFNA(IF(($I77)&lt;60,DATE(YEAR(H77)+(5-VALUE(INDEX(Producer!$B:$B,MATCH($D77,Producer!$A:$A,0)))),MONTH(H77),DAY(H77)),""),"")</f>
        <v/>
      </c>
      <c r="L77" s="153" t="str">
        <f t="shared" si="30"/>
        <v/>
      </c>
      <c r="M77" s="146"/>
      <c r="N77" s="148"/>
      <c r="O77" s="148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>
        <f>IF(D77="","",IF(C77="Residential",Constants!$B$10,Constants!$B$11))</f>
        <v>8.5399999999999991</v>
      </c>
      <c r="AL77" s="146" t="str">
        <f t="shared" si="31"/>
        <v>BVR</v>
      </c>
      <c r="AM77" s="206" t="str">
        <f t="shared" si="32"/>
        <v/>
      </c>
      <c r="AN77" s="146">
        <f t="shared" si="33"/>
        <v>10</v>
      </c>
      <c r="AO77" s="149" t="str">
        <f t="shared" si="34"/>
        <v>Remortgage</v>
      </c>
      <c r="AP77" s="150" t="str">
        <f t="shared" si="35"/>
        <v>ProductTransfer</v>
      </c>
      <c r="AQ77" s="146">
        <f>IFERROR(_xlfn.IFNA(IF($BA77="No",0,IF(INDEX(Constants!B:B,MATCH(($I77/12),Constants!$A:$A,0))=0,0,INDEX(Constants!B:B,MATCH(($I77/12),Constants!$A:$A,0)))),0),"")</f>
        <v>5</v>
      </c>
      <c r="AR77" s="146">
        <f>IFERROR(_xlfn.IFNA(IF($BA77="No",0,IF(INDEX(Constants!C:C,MATCH(($I77/12),Constants!$A:$A,0))=0,0,INDEX(Constants!C:C,MATCH(($I77/12),Constants!$A:$A,0)))),0),"")</f>
        <v>5</v>
      </c>
      <c r="AS77" s="146">
        <f>IFERROR(_xlfn.IFNA(IF($BA77="No",0,IF(INDEX(Constants!D:D,MATCH(($I77/12),Constants!$A:$A,0))=0,0,INDEX(Constants!D:D,MATCH(($I77/12),Constants!$A:$A,0)))),0),"")</f>
        <v>4</v>
      </c>
      <c r="AT77" s="146">
        <f>IFERROR(_xlfn.IFNA(IF($BA77="No",0,IF(INDEX(Constants!E:E,MATCH(($I77/12),Constants!$A:$A,0))=0,0,INDEX(Constants!E:E,MATCH(($I77/12),Constants!$A:$A,0)))),0),"")</f>
        <v>3</v>
      </c>
      <c r="AU77" s="146">
        <f>IFERROR(_xlfn.IFNA(IF($BA77="No",0,IF(INDEX(Constants!F:F,MATCH(($I77/12),Constants!$A:$A,0))=0,0,INDEX(Constants!F:F,MATCH(($I77/12),Constants!$A:$A,0)))),0),"")</f>
        <v>2</v>
      </c>
      <c r="AV77" s="146">
        <f>IFERROR(_xlfn.IFNA(IF($BA77="No",0,IF(INDEX(Constants!G:G,MATCH(($I77/12),Constants!$A:$A,0))=0,0,INDEX(Constants!G:G,MATCH(($I77/12),Constants!$A:$A,0)))),0),"")</f>
        <v>0</v>
      </c>
      <c r="AW77" s="146">
        <f>IFERROR(_xlfn.IFNA(IF($BA77="No",0,IF(INDEX(Constants!H:H,MATCH(($I77/12),Constants!$A:$A,0))=0,0,INDEX(Constants!H:H,MATCH(($I77/12),Constants!$A:$A,0)))),0),"")</f>
        <v>0</v>
      </c>
      <c r="AX77" s="146">
        <f>IFERROR(_xlfn.IFNA(IF($BA77="No",0,IF(INDEX(Constants!I:I,MATCH(($I77/12),Constants!$A:$A,0))=0,0,INDEX(Constants!I:I,MATCH(($I77/12),Constants!$A:$A,0)))),0),"")</f>
        <v>0</v>
      </c>
      <c r="AY77" s="146">
        <f>IFERROR(_xlfn.IFNA(IF($BA77="No",0,IF(INDEX(Constants!J:J,MATCH(($I77/12),Constants!$A:$A,0))=0,0,INDEX(Constants!J:J,MATCH(($I77/12),Constants!$A:$A,0)))),0),"")</f>
        <v>0</v>
      </c>
      <c r="AZ77" s="146">
        <f>IFERROR(_xlfn.IFNA(IF($BA77="No",0,IF(INDEX(Constants!K:K,MATCH(($I77/12),Constants!$A:$A,0))=0,0,INDEX(Constants!K:K,MATCH(($I77/12),Constants!$A:$A,0)))),0),"")</f>
        <v>0</v>
      </c>
      <c r="BA77" s="147" t="str">
        <f>_xlfn.IFNA(INDEX(Producer!$L:$L,MATCH($D77,Producer!$A:$A,0)),"")</f>
        <v>Yes</v>
      </c>
      <c r="BB77" s="146" t="str">
        <f>IFERROR(IF(AQ77=0,"",IF(($I77/12)=15,_xlfn.CONCAT(Constants!$N$7,TEXT(DATE(YEAR(H77)-(($I77/12)-3),MONTH(H77),DAY(H77)),"dd/mm/yyyy"),", ",Constants!$P$7,TEXT(DATE(YEAR(H77)-(($I77/12)-8),MONTH(H77),DAY(H77)),"dd/mm/yyyy"),", ",Constants!$T$7,TEXT(DATE(YEAR(H77)-(($I77/12)-11),MONTH(H77),DAY(H77)),"dd/mm/yyyy"),", ",Constants!$V$7,TEXT(DATE(YEAR(H77)-(($I77/12)-13),MONTH(H77),DAY(H77)),"dd/mm/yyyy"),", ",Constants!$W$7,TEXT($H77,"dd/mm/yyyy")),IF(($I77/12)=10,_xlfn.CONCAT(Constants!$N$6,TEXT(DATE(YEAR(H77)-(($I77/12)-2),MONTH(H77),DAY(H77)),"dd/mm/yyyy"),", ",Constants!$P$6,TEXT(DATE(YEAR(H77)-(($I77/12)-6),MONTH(H77),DAY(H77)),"dd/mm/yyyy"),", ",Constants!$T$6,TEXT(DATE(YEAR(H77)-(($I77/12)-8),MONTH(H77),DAY(H77)),"dd/mm/yyyy"),", ",Constants!$V$6,TEXT(DATE(YEAR(H77)-(($I77/12)-9),MONTH(H77),DAY(H77)),"dd/mm/yyyy"),", ",Constants!$W$6,TEXT($H77,"dd/mm/yyyy")),IF(($I77/12)=5,_xlfn.CONCAT(Constants!$N$5,TEXT(DATE(YEAR(H77)-(($I77/12)-1),MONTH(H77),DAY(H77)),"dd/mm/yyyy"),", ",Constants!$O$5,TEXT(DATE(YEAR(H77)-(($I77/12)-2),MONTH(H77),DAY(H77)),"dd/mm/yyyy"),", ",Constants!$P$5,TEXT(DATE(YEAR(H77)-(($I77/12)-3),MONTH(H77),DAY(H77)),"dd/mm/yyyy"),", ",Constants!$Q$5,TEXT(DATE(YEAR(H77)-(($I77/12)-4),MONTH(H77),DAY(H77)),"dd/mm/yyyy"),", ",Constants!$R$5,TEXT($H77,"dd/mm/yyyy")),IF(($I77/12)=3,_xlfn.CONCAT(Constants!$N$4,TEXT(DATE(YEAR(H77)-(($I77/12)-1),MONTH(H77),DAY(H77)),"dd/mm/yyyy"),", ",Constants!$O$4,TEXT(DATE(YEAR(H77)-(($I77/12)-2),MONTH(H77),DAY(H77)),"dd/mm/yyyy"),", ",Constants!$P$4,TEXT($H77,"dd/mm/yyyy")),IF(($I77/12)=2,_xlfn.CONCAT(Constants!$N$3,TEXT(DATE(YEAR(H77)-(($I77/12)-1),MONTH(H77),DAY(H77)),"dd/mm/yyyy"),", ",Constants!$O$3,TEXT($H77,"dd/mm/yyyy")),IF(($I77/12)=1,_xlfn.CONCAT(Constants!$N$2,TEXT($H77,"dd/mm/yyyy")),"Update Constants"))))))),"")</f>
        <v>5% to 31/01/2026, 5% to 31/01/2027, 4% to 31/01/2028, 3% to 31/01/2029, 2% to 31/01/2030</v>
      </c>
      <c r="BC77" s="147">
        <f>_xlfn.IFNA(VALUE(INDEX(Producer!$K:$K,MATCH($D77,Producer!$A:$A,0))),"")</f>
        <v>0</v>
      </c>
      <c r="BD77" s="147" t="str">
        <f>_xlfn.IFNA(INDEX(Producer!$I:$I,MATCH($D77,Producer!$A:$A,0)),"")</f>
        <v>No</v>
      </c>
      <c r="BE77" s="147" t="str">
        <f t="shared" si="36"/>
        <v>Yes</v>
      </c>
      <c r="BF77" s="147"/>
      <c r="BG77" s="147"/>
      <c r="BH77" s="151">
        <f>_xlfn.IFNA(INDEX(Constants!$B:$B,MATCH(BC77,Constants!A:A,0)),"")</f>
        <v>0</v>
      </c>
      <c r="BI77" s="147">
        <f>IF(LEFT(B77,15)="Limited Company",Constants!$D$16,IFERROR(_xlfn.IFNA(IF(C77="Residential",IF(BK77&lt;75,INDEX(Constants!$B:$B,MATCH(VALUE(60)/100,Constants!$A:$A,0)),INDEX(Constants!$B:$B,MATCH(VALUE(BK77)/100,Constants!$A:$A,0))),IF(BK77&lt;60,INDEX(Constants!$C:$C,MATCH(VALUE(60)/100,Constants!$A:$A,0)),INDEX(Constants!$C:$C,MATCH(VALUE(BK77)/100,Constants!$A:$A,0)))),""),""))</f>
        <v>1000000</v>
      </c>
      <c r="BJ77" s="147">
        <f t="shared" si="37"/>
        <v>0</v>
      </c>
      <c r="BK77" s="147">
        <f>_xlfn.IFNA(VALUE(INDEX(Producer!$E:$E,MATCH($D77,Producer!$A:$A,0)))*100,"")</f>
        <v>75</v>
      </c>
      <c r="BL77" s="146" t="str">
        <f>_xlfn.IFNA(IF(IFERROR(FIND("Part &amp; Part",B77),-10)&gt;0,"PP",IF(OR(LEFT(B77,25)="Residential Interest Only",INDEX(Producer!$P:$P,MATCH($D77,Producer!$A:$A,0))="IO",INDEX(Producer!$P:$P,MATCH($D77,Producer!$A:$A,0))="Retirement Interest Only"),"IO",IF($C77="BuyToLet","CI, IO","CI"))),"")</f>
        <v>CI, IO</v>
      </c>
      <c r="BM77" s="152">
        <f>_xlfn.IFNA(IF(BL77="IO",100%,IF(AND(INDEX(Producer!$P:$P,MATCH($D77,Producer!$A:$A,0))="Residential Interest Only Part &amp; Part",BK77=75),80%,IF(C77="BuyToLet",100%,IF(BL77="Interest Only",100%,IF(AND(INDEX(Producer!$P:$P,MATCH($D77,Producer!$A:$A,0))="Residential Interest Only Part &amp; Part",BK77=60),100%,""))))),"")</f>
        <v>1</v>
      </c>
      <c r="BN77" s="218" t="str">
        <f>_xlfn.IFNA(IF(VALUE(INDEX(Producer!$H:$H,MATCH($D77,Producer!$A:$A,0)))=0,"",VALUE(INDEX(Producer!$H:$H,MATCH($D77,Producer!$A:$A,0)))),"")</f>
        <v/>
      </c>
      <c r="BO77" s="153"/>
      <c r="BP77" s="153"/>
      <c r="BQ77" s="219">
        <f t="shared" si="38"/>
        <v>35</v>
      </c>
      <c r="BR77" s="146"/>
      <c r="BS77" s="146"/>
      <c r="BT77" s="146"/>
      <c r="BU77" s="146"/>
      <c r="BV77" s="219">
        <f t="shared" si="39"/>
        <v>199</v>
      </c>
      <c r="BW77" s="146"/>
      <c r="BX77" s="146"/>
      <c r="BY77" s="146" t="str">
        <f t="shared" si="40"/>
        <v>No</v>
      </c>
      <c r="BZ77" s="146" t="str">
        <f t="shared" si="41"/>
        <v>No</v>
      </c>
      <c r="CA77" s="146" t="str">
        <f t="shared" si="42"/>
        <v>No</v>
      </c>
      <c r="CB77" s="146" t="str">
        <f t="shared" si="43"/>
        <v>No</v>
      </c>
      <c r="CC77" s="146" t="str">
        <f>_xlfn.IFNA(IF(INDEX(Producer!$P:$P,MATCH($D77,Producer!$A:$A,0))="Help to Buy","Only available","No"),"")</f>
        <v>No</v>
      </c>
      <c r="CD77" s="146" t="str">
        <f>_xlfn.IFNA(IF(INDEX(Producer!$P:$P,MATCH($D77,Producer!$A:$A,0))="Shared Ownership","Only available","No"),"")</f>
        <v>No</v>
      </c>
      <c r="CE77" s="146" t="str">
        <f>_xlfn.IFNA(IF(INDEX(Producer!$P:$P,MATCH($D77,Producer!$A:$A,0))="Right to Buy","Only available","No"),"")</f>
        <v>No</v>
      </c>
      <c r="CF77" s="146" t="str">
        <f t="shared" si="44"/>
        <v>No</v>
      </c>
      <c r="CG77" s="146" t="str">
        <f>_xlfn.IFNA(IF(INDEX(Producer!$P:$P,MATCH($D77,Producer!$A:$A,0))="Retirement Interest Only","Only available","No"),"")</f>
        <v>No</v>
      </c>
      <c r="CH77" s="146" t="str">
        <f t="shared" si="45"/>
        <v>No</v>
      </c>
      <c r="CI77" s="146" t="str">
        <f>_xlfn.IFNA(IF(INDEX(Producer!$P:$P,MATCH($D77,Producer!$A:$A,0))="Intermediary Holiday Let","Only available","No"),"")</f>
        <v>No</v>
      </c>
      <c r="CJ77" s="146" t="str">
        <f t="shared" si="46"/>
        <v>No</v>
      </c>
      <c r="CK77" s="146" t="str">
        <f>_xlfn.IFNA(IF(OR(INDEX(Producer!$P:$P,MATCH($D77,Producer!$A:$A,0))="Intermediary Small HMO",INDEX(Producer!$P:$P,MATCH($D77,Producer!$A:$A,0))="Intermediary Large HMO"),"Only available","No"),"")</f>
        <v>Only available</v>
      </c>
      <c r="CL77" s="146" t="str">
        <f t="shared" si="47"/>
        <v>Also available</v>
      </c>
      <c r="CM77" s="146" t="str">
        <f t="shared" si="48"/>
        <v>Also available</v>
      </c>
      <c r="CN77" s="146" t="str">
        <f t="shared" si="49"/>
        <v>No</v>
      </c>
      <c r="CO77" s="146" t="str">
        <f t="shared" si="50"/>
        <v>Also available</v>
      </c>
      <c r="CP77" s="146" t="str">
        <f t="shared" si="51"/>
        <v>No</v>
      </c>
      <c r="CQ77" s="146" t="str">
        <f t="shared" si="52"/>
        <v>No</v>
      </c>
      <c r="CR77" s="146" t="str">
        <f t="shared" si="53"/>
        <v>Also available</v>
      </c>
      <c r="CS77" s="146" t="str">
        <f t="shared" si="54"/>
        <v>Only available</v>
      </c>
      <c r="CT77" s="146" t="str">
        <f t="shared" si="55"/>
        <v>No</v>
      </c>
      <c r="CU77" s="146"/>
    </row>
    <row r="78" spans="1:99" ht="16.399999999999999" customHeight="1" x14ac:dyDescent="0.35">
      <c r="A78" s="145" t="str">
        <f t="shared" si="28"/>
        <v>Leeds Building Society</v>
      </c>
      <c r="B78" s="145" t="str">
        <f>_xlfn.IFNA(_xlfn.CONCAT(INDEX(Producer!$P:$P,MATCH($D78,Producer!$A:$A,0))," ",IF(INDEX(Producer!$N:$N,MATCH($D78,Producer!$A:$A,0))="Yes","Green ",""),IF(AND(INDEX(Producer!$L:$L,MATCH($D78,Producer!$A:$A,0))="No",INDEX(Producer!$C:$C,MATCH($D78,Producer!$A:$A,0))="Fixed"),"Flexit ",""),INDEX(Producer!$B:$B,MATCH($D78,Producer!$A:$A,0))," Year ",INDEX(Producer!$C:$C,MATCH($D78,Producer!$A:$A,0))," ",VALUE(INDEX(Producer!$E:$E,MATCH($D78,Producer!$A:$A,0)))*100,"% LTV",IF(INDEX(Producer!$N:$N,MATCH($D78,Producer!$A:$A,0))="Yes"," (EPC A-C)","")," - ",IF(INDEX(Producer!$D:$D,MATCH($D78,Producer!$A:$A,0))="DLY","Daily","Annual")),"")</f>
        <v>Intermediary Large HMO 2 Year Fixed 75% LTV - Daily</v>
      </c>
      <c r="C78" s="146" t="str">
        <f>_xlfn.IFNA(INDEX(Producer!$Q:$Q,MATCH($D78,Producer!$A:$A,0)),"")</f>
        <v>BuyToLet</v>
      </c>
      <c r="D78" s="146">
        <f>IFERROR(VALUE(MID(Producer!$R$2,IF($D77="",1/0,FIND(_xlfn.CONCAT($D76,$D77),Producer!$R$2)+10),5)),"")</f>
        <v>54321</v>
      </c>
      <c r="E78" s="146" t="str">
        <f t="shared" si="29"/>
        <v>Stepped Fixed</v>
      </c>
      <c r="F78" s="146"/>
      <c r="G78" s="147">
        <f>_xlfn.IFNA(VALUE(INDEX(Producer!$F:$F,MATCH($D78,Producer!$A:$A,0)))*100,"")</f>
        <v>6.84</v>
      </c>
      <c r="H78" s="216">
        <f>_xlfn.IFNA(IFERROR(DATEVALUE(INDEX(Producer!$M:$M,MATCH($D78,Producer!$A:$A,0))),(INDEX(Producer!$M:$M,MATCH($D78,Producer!$A:$A,0)))),"")</f>
        <v>46418</v>
      </c>
      <c r="I78" s="217">
        <f>_xlfn.IFNA(VALUE(INDEX(Producer!$B:$B,MATCH($D78,Producer!$A:$A,0)))*12,"")</f>
        <v>24</v>
      </c>
      <c r="J78" s="146">
        <f>_xlfn.IFNA(IF(C78="Residential",IF(VALUE(INDEX(Producer!$B:$B,MATCH($D78,Producer!$A:$A,0)))&lt;5,Constants!$C$10,""),IF(VALUE(INDEX(Producer!$B:$B,MATCH($D78,Producer!$A:$A,0)))&lt;5,Constants!$C$11,"")),"")</f>
        <v>7.54</v>
      </c>
      <c r="K78" s="216">
        <f>_xlfn.IFNA(IF(($I78)&lt;60,DATE(YEAR(H78)+(5-VALUE(INDEX(Producer!$B:$B,MATCH($D78,Producer!$A:$A,0)))),MONTH(H78),DAY(H78)),""),"")</f>
        <v>47514</v>
      </c>
      <c r="L78" s="153">
        <f t="shared" si="30"/>
        <v>36</v>
      </c>
      <c r="M78" s="146"/>
      <c r="N78" s="148"/>
      <c r="O78" s="148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>
        <f>IF(D78="","",IF(C78="Residential",Constants!$B$10,Constants!$B$11))</f>
        <v>8.5399999999999991</v>
      </c>
      <c r="AL78" s="146" t="str">
        <f t="shared" si="31"/>
        <v>BVR</v>
      </c>
      <c r="AM78" s="206" t="str">
        <f t="shared" si="32"/>
        <v/>
      </c>
      <c r="AN78" s="146">
        <f t="shared" si="33"/>
        <v>10</v>
      </c>
      <c r="AO78" s="149" t="str">
        <f t="shared" si="34"/>
        <v>Remortgage</v>
      </c>
      <c r="AP78" s="150" t="str">
        <f t="shared" si="35"/>
        <v>ProductTransfer</v>
      </c>
      <c r="AQ78" s="146">
        <f>IFERROR(_xlfn.IFNA(IF($BA78="No",0,IF(INDEX(Constants!B:B,MATCH(($I78/12),Constants!$A:$A,0))=0,0,INDEX(Constants!B:B,MATCH(($I78/12),Constants!$A:$A,0)))),0),"")</f>
        <v>2.5</v>
      </c>
      <c r="AR78" s="146">
        <f>IFERROR(_xlfn.IFNA(IF($BA78="No",0,IF(INDEX(Constants!C:C,MATCH(($I78/12),Constants!$A:$A,0))=0,0,INDEX(Constants!C:C,MATCH(($I78/12),Constants!$A:$A,0)))),0),"")</f>
        <v>1.5</v>
      </c>
      <c r="AS78" s="146">
        <f>IFERROR(_xlfn.IFNA(IF($BA78="No",0,IF(INDEX(Constants!D:D,MATCH(($I78/12),Constants!$A:$A,0))=0,0,INDEX(Constants!D:D,MATCH(($I78/12),Constants!$A:$A,0)))),0),"")</f>
        <v>0</v>
      </c>
      <c r="AT78" s="146">
        <f>IFERROR(_xlfn.IFNA(IF($BA78="No",0,IF(INDEX(Constants!E:E,MATCH(($I78/12),Constants!$A:$A,0))=0,0,INDEX(Constants!E:E,MATCH(($I78/12),Constants!$A:$A,0)))),0),"")</f>
        <v>0</v>
      </c>
      <c r="AU78" s="146">
        <f>IFERROR(_xlfn.IFNA(IF($BA78="No",0,IF(INDEX(Constants!F:F,MATCH(($I78/12),Constants!$A:$A,0))=0,0,INDEX(Constants!F:F,MATCH(($I78/12),Constants!$A:$A,0)))),0),"")</f>
        <v>0</v>
      </c>
      <c r="AV78" s="146">
        <f>IFERROR(_xlfn.IFNA(IF($BA78="No",0,IF(INDEX(Constants!G:G,MATCH(($I78/12),Constants!$A:$A,0))=0,0,INDEX(Constants!G:G,MATCH(($I78/12),Constants!$A:$A,0)))),0),"")</f>
        <v>0</v>
      </c>
      <c r="AW78" s="146">
        <f>IFERROR(_xlfn.IFNA(IF($BA78="No",0,IF(INDEX(Constants!H:H,MATCH(($I78/12),Constants!$A:$A,0))=0,0,INDEX(Constants!H:H,MATCH(($I78/12),Constants!$A:$A,0)))),0),"")</f>
        <v>0</v>
      </c>
      <c r="AX78" s="146">
        <f>IFERROR(_xlfn.IFNA(IF($BA78="No",0,IF(INDEX(Constants!I:I,MATCH(($I78/12),Constants!$A:$A,0))=0,0,INDEX(Constants!I:I,MATCH(($I78/12),Constants!$A:$A,0)))),0),"")</f>
        <v>0</v>
      </c>
      <c r="AY78" s="146">
        <f>IFERROR(_xlfn.IFNA(IF($BA78="No",0,IF(INDEX(Constants!J:J,MATCH(($I78/12),Constants!$A:$A,0))=0,0,INDEX(Constants!J:J,MATCH(($I78/12),Constants!$A:$A,0)))),0),"")</f>
        <v>0</v>
      </c>
      <c r="AZ78" s="146">
        <f>IFERROR(_xlfn.IFNA(IF($BA78="No",0,IF(INDEX(Constants!K:K,MATCH(($I78/12),Constants!$A:$A,0))=0,0,INDEX(Constants!K:K,MATCH(($I78/12),Constants!$A:$A,0)))),0),"")</f>
        <v>0</v>
      </c>
      <c r="BA78" s="147" t="str">
        <f>_xlfn.IFNA(INDEX(Producer!$L:$L,MATCH($D78,Producer!$A:$A,0)),"")</f>
        <v>Yes</v>
      </c>
      <c r="BB78" s="146" t="str">
        <f>IFERROR(IF(AQ78=0,"",IF(($I78/12)=15,_xlfn.CONCAT(Constants!$N$7,TEXT(DATE(YEAR(H78)-(($I78/12)-3),MONTH(H78),DAY(H78)),"dd/mm/yyyy"),", ",Constants!$P$7,TEXT(DATE(YEAR(H78)-(($I78/12)-8),MONTH(H78),DAY(H78)),"dd/mm/yyyy"),", ",Constants!$T$7,TEXT(DATE(YEAR(H78)-(($I78/12)-11),MONTH(H78),DAY(H78)),"dd/mm/yyyy"),", ",Constants!$V$7,TEXT(DATE(YEAR(H78)-(($I78/12)-13),MONTH(H78),DAY(H78)),"dd/mm/yyyy"),", ",Constants!$W$7,TEXT($H78,"dd/mm/yyyy")),IF(($I78/12)=10,_xlfn.CONCAT(Constants!$N$6,TEXT(DATE(YEAR(H78)-(($I78/12)-2),MONTH(H78),DAY(H78)),"dd/mm/yyyy"),", ",Constants!$P$6,TEXT(DATE(YEAR(H78)-(($I78/12)-6),MONTH(H78),DAY(H78)),"dd/mm/yyyy"),", ",Constants!$T$6,TEXT(DATE(YEAR(H78)-(($I78/12)-8),MONTH(H78),DAY(H78)),"dd/mm/yyyy"),", ",Constants!$V$6,TEXT(DATE(YEAR(H78)-(($I78/12)-9),MONTH(H78),DAY(H78)),"dd/mm/yyyy"),", ",Constants!$W$6,TEXT($H78,"dd/mm/yyyy")),IF(($I78/12)=5,_xlfn.CONCAT(Constants!$N$5,TEXT(DATE(YEAR(H78)-(($I78/12)-1),MONTH(H78),DAY(H78)),"dd/mm/yyyy"),", ",Constants!$O$5,TEXT(DATE(YEAR(H78)-(($I78/12)-2),MONTH(H78),DAY(H78)),"dd/mm/yyyy"),", ",Constants!$P$5,TEXT(DATE(YEAR(H78)-(($I78/12)-3),MONTH(H78),DAY(H78)),"dd/mm/yyyy"),", ",Constants!$Q$5,TEXT(DATE(YEAR(H78)-(($I78/12)-4),MONTH(H78),DAY(H78)),"dd/mm/yyyy"),", ",Constants!$R$5,TEXT($H78,"dd/mm/yyyy")),IF(($I78/12)=3,_xlfn.CONCAT(Constants!$N$4,TEXT(DATE(YEAR(H78)-(($I78/12)-1),MONTH(H78),DAY(H78)),"dd/mm/yyyy"),", ",Constants!$O$4,TEXT(DATE(YEAR(H78)-(($I78/12)-2),MONTH(H78),DAY(H78)),"dd/mm/yyyy"),", ",Constants!$P$4,TEXT($H78,"dd/mm/yyyy")),IF(($I78/12)=2,_xlfn.CONCAT(Constants!$N$3,TEXT(DATE(YEAR(H78)-(($I78/12)-1),MONTH(H78),DAY(H78)),"dd/mm/yyyy"),", ",Constants!$O$3,TEXT($H78,"dd/mm/yyyy")),IF(($I78/12)=1,_xlfn.CONCAT(Constants!$N$2,TEXT($H78,"dd/mm/yyyy")),"Update Constants"))))))),"")</f>
        <v>2.5% to 31/01/2026, 1.5% to 31/01/2027</v>
      </c>
      <c r="BC78" s="147">
        <f>_xlfn.IFNA(VALUE(INDEX(Producer!$K:$K,MATCH($D78,Producer!$A:$A,0))),"")</f>
        <v>0</v>
      </c>
      <c r="BD78" s="147" t="str">
        <f>_xlfn.IFNA(INDEX(Producer!$I:$I,MATCH($D78,Producer!$A:$A,0)),"")</f>
        <v>No</v>
      </c>
      <c r="BE78" s="147" t="str">
        <f t="shared" si="36"/>
        <v>Yes</v>
      </c>
      <c r="BF78" s="147"/>
      <c r="BG78" s="147"/>
      <c r="BH78" s="151">
        <f>_xlfn.IFNA(INDEX(Constants!$B:$B,MATCH(BC78,Constants!A:A,0)),"")</f>
        <v>0</v>
      </c>
      <c r="BI78" s="147">
        <f>IF(LEFT(B78,15)="Limited Company",Constants!$D$16,IFERROR(_xlfn.IFNA(IF(C78="Residential",IF(BK78&lt;75,INDEX(Constants!$B:$B,MATCH(VALUE(60)/100,Constants!$A:$A,0)),INDEX(Constants!$B:$B,MATCH(VALUE(BK78)/100,Constants!$A:$A,0))),IF(BK78&lt;60,INDEX(Constants!$C:$C,MATCH(VALUE(60)/100,Constants!$A:$A,0)),INDEX(Constants!$C:$C,MATCH(VALUE(BK78)/100,Constants!$A:$A,0)))),""),""))</f>
        <v>1000000</v>
      </c>
      <c r="BJ78" s="147">
        <f t="shared" si="37"/>
        <v>0</v>
      </c>
      <c r="BK78" s="147">
        <f>_xlfn.IFNA(VALUE(INDEX(Producer!$E:$E,MATCH($D78,Producer!$A:$A,0)))*100,"")</f>
        <v>75</v>
      </c>
      <c r="BL78" s="146" t="str">
        <f>_xlfn.IFNA(IF(IFERROR(FIND("Part &amp; Part",B78),-10)&gt;0,"PP",IF(OR(LEFT(B78,25)="Residential Interest Only",INDEX(Producer!$P:$P,MATCH($D78,Producer!$A:$A,0))="IO",INDEX(Producer!$P:$P,MATCH($D78,Producer!$A:$A,0))="Retirement Interest Only"),"IO",IF($C78="BuyToLet","CI, IO","CI"))),"")</f>
        <v>CI, IO</v>
      </c>
      <c r="BM78" s="152">
        <f>_xlfn.IFNA(IF(BL78="IO",100%,IF(AND(INDEX(Producer!$P:$P,MATCH($D78,Producer!$A:$A,0))="Residential Interest Only Part &amp; Part",BK78=75),80%,IF(C78="BuyToLet",100%,IF(BL78="Interest Only",100%,IF(AND(INDEX(Producer!$P:$P,MATCH($D78,Producer!$A:$A,0))="Residential Interest Only Part &amp; Part",BK78=60),100%,""))))),"")</f>
        <v>1</v>
      </c>
      <c r="BN78" s="218">
        <f>_xlfn.IFNA(IF(VALUE(INDEX(Producer!$H:$H,MATCH($D78,Producer!$A:$A,0)))=0,"",VALUE(INDEX(Producer!$H:$H,MATCH($D78,Producer!$A:$A,0)))),"")</f>
        <v>999</v>
      </c>
      <c r="BO78" s="153"/>
      <c r="BP78" s="153"/>
      <c r="BQ78" s="219">
        <f t="shared" si="38"/>
        <v>35</v>
      </c>
      <c r="BR78" s="146"/>
      <c r="BS78" s="146"/>
      <c r="BT78" s="146"/>
      <c r="BU78" s="146"/>
      <c r="BV78" s="219">
        <f t="shared" si="39"/>
        <v>199</v>
      </c>
      <c r="BW78" s="146"/>
      <c r="BX78" s="146"/>
      <c r="BY78" s="146" t="str">
        <f t="shared" si="40"/>
        <v>No</v>
      </c>
      <c r="BZ78" s="146" t="str">
        <f t="shared" si="41"/>
        <v>No</v>
      </c>
      <c r="CA78" s="146" t="str">
        <f t="shared" si="42"/>
        <v>No</v>
      </c>
      <c r="CB78" s="146" t="str">
        <f t="shared" si="43"/>
        <v>No</v>
      </c>
      <c r="CC78" s="146" t="str">
        <f>_xlfn.IFNA(IF(INDEX(Producer!$P:$P,MATCH($D78,Producer!$A:$A,0))="Help to Buy","Only available","No"),"")</f>
        <v>No</v>
      </c>
      <c r="CD78" s="146" t="str">
        <f>_xlfn.IFNA(IF(INDEX(Producer!$P:$P,MATCH($D78,Producer!$A:$A,0))="Shared Ownership","Only available","No"),"")</f>
        <v>No</v>
      </c>
      <c r="CE78" s="146" t="str">
        <f>_xlfn.IFNA(IF(INDEX(Producer!$P:$P,MATCH($D78,Producer!$A:$A,0))="Right to Buy","Only available","No"),"")</f>
        <v>No</v>
      </c>
      <c r="CF78" s="146" t="str">
        <f t="shared" si="44"/>
        <v>No</v>
      </c>
      <c r="CG78" s="146" t="str">
        <f>_xlfn.IFNA(IF(INDEX(Producer!$P:$P,MATCH($D78,Producer!$A:$A,0))="Retirement Interest Only","Only available","No"),"")</f>
        <v>No</v>
      </c>
      <c r="CH78" s="146" t="str">
        <f t="shared" si="45"/>
        <v>No</v>
      </c>
      <c r="CI78" s="146" t="str">
        <f>_xlfn.IFNA(IF(INDEX(Producer!$P:$P,MATCH($D78,Producer!$A:$A,0))="Intermediary Holiday Let","Only available","No"),"")</f>
        <v>No</v>
      </c>
      <c r="CJ78" s="146" t="str">
        <f t="shared" si="46"/>
        <v>No</v>
      </c>
      <c r="CK78" s="146" t="str">
        <f>_xlfn.IFNA(IF(OR(INDEX(Producer!$P:$P,MATCH($D78,Producer!$A:$A,0))="Intermediary Small HMO",INDEX(Producer!$P:$P,MATCH($D78,Producer!$A:$A,0))="Intermediary Large HMO"),"Only available","No"),"")</f>
        <v>Only available</v>
      </c>
      <c r="CL78" s="146" t="str">
        <f t="shared" si="47"/>
        <v>Also available</v>
      </c>
      <c r="CM78" s="146" t="str">
        <f t="shared" si="48"/>
        <v>Also available</v>
      </c>
      <c r="CN78" s="146" t="str">
        <f t="shared" si="49"/>
        <v>No</v>
      </c>
      <c r="CO78" s="146" t="str">
        <f t="shared" si="50"/>
        <v>Also available</v>
      </c>
      <c r="CP78" s="146" t="str">
        <f t="shared" si="51"/>
        <v>No</v>
      </c>
      <c r="CQ78" s="146" t="str">
        <f t="shared" si="52"/>
        <v>No</v>
      </c>
      <c r="CR78" s="146" t="str">
        <f t="shared" si="53"/>
        <v>Also available</v>
      </c>
      <c r="CS78" s="146" t="str">
        <f t="shared" si="54"/>
        <v>Only available</v>
      </c>
      <c r="CT78" s="146" t="str">
        <f t="shared" si="55"/>
        <v>No</v>
      </c>
      <c r="CU78" s="146"/>
    </row>
    <row r="79" spans="1:99" ht="16.399999999999999" customHeight="1" x14ac:dyDescent="0.35">
      <c r="A79" s="145" t="str">
        <f t="shared" si="28"/>
        <v>Leeds Building Society</v>
      </c>
      <c r="B79" s="145" t="str">
        <f>_xlfn.IFNA(_xlfn.CONCAT(INDEX(Producer!$P:$P,MATCH($D79,Producer!$A:$A,0))," ",IF(INDEX(Producer!$N:$N,MATCH($D79,Producer!$A:$A,0))="Yes","Green ",""),IF(AND(INDEX(Producer!$L:$L,MATCH($D79,Producer!$A:$A,0))="No",INDEX(Producer!$C:$C,MATCH($D79,Producer!$A:$A,0))="Fixed"),"Flexit ",""),INDEX(Producer!$B:$B,MATCH($D79,Producer!$A:$A,0))," Year ",INDEX(Producer!$C:$C,MATCH($D79,Producer!$A:$A,0))," ",VALUE(INDEX(Producer!$E:$E,MATCH($D79,Producer!$A:$A,0)))*100,"% LTV",IF(INDEX(Producer!$N:$N,MATCH($D79,Producer!$A:$A,0))="Yes"," (EPC A-C)","")," - ",IF(INDEX(Producer!$D:$D,MATCH($D79,Producer!$A:$A,0))="DLY","Daily","Annual")),"")</f>
        <v>Intermediary Large HMO 2 Year Fixed 75% LTV - Daily</v>
      </c>
      <c r="C79" s="146" t="str">
        <f>_xlfn.IFNA(INDEX(Producer!$Q:$Q,MATCH($D79,Producer!$A:$A,0)),"")</f>
        <v>BuyToLet</v>
      </c>
      <c r="D79" s="146">
        <f>IFERROR(VALUE(MID(Producer!$R$2,IF($D78="",1/0,FIND(_xlfn.CONCAT($D77,$D78),Producer!$R$2)+10),5)),"")</f>
        <v>54322</v>
      </c>
      <c r="E79" s="146" t="str">
        <f t="shared" si="29"/>
        <v>Stepped Fixed</v>
      </c>
      <c r="F79" s="146"/>
      <c r="G79" s="147">
        <f>_xlfn.IFNA(VALUE(INDEX(Producer!$F:$F,MATCH($D79,Producer!$A:$A,0)))*100,"")</f>
        <v>7.04</v>
      </c>
      <c r="H79" s="216">
        <f>_xlfn.IFNA(IFERROR(DATEVALUE(INDEX(Producer!$M:$M,MATCH($D79,Producer!$A:$A,0))),(INDEX(Producer!$M:$M,MATCH($D79,Producer!$A:$A,0)))),"")</f>
        <v>46418</v>
      </c>
      <c r="I79" s="217">
        <f>_xlfn.IFNA(VALUE(INDEX(Producer!$B:$B,MATCH($D79,Producer!$A:$A,0)))*12,"")</f>
        <v>24</v>
      </c>
      <c r="J79" s="146">
        <f>_xlfn.IFNA(IF(C79="Residential",IF(VALUE(INDEX(Producer!$B:$B,MATCH($D79,Producer!$A:$A,0)))&lt;5,Constants!$C$10,""),IF(VALUE(INDEX(Producer!$B:$B,MATCH($D79,Producer!$A:$A,0)))&lt;5,Constants!$C$11,"")),"")</f>
        <v>7.54</v>
      </c>
      <c r="K79" s="216">
        <f>_xlfn.IFNA(IF(($I79)&lt;60,DATE(YEAR(H79)+(5-VALUE(INDEX(Producer!$B:$B,MATCH($D79,Producer!$A:$A,0)))),MONTH(H79),DAY(H79)),""),"")</f>
        <v>47514</v>
      </c>
      <c r="L79" s="153">
        <f t="shared" si="30"/>
        <v>36</v>
      </c>
      <c r="M79" s="146"/>
      <c r="N79" s="148"/>
      <c r="O79" s="148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>
        <f>IF(D79="","",IF(C79="Residential",Constants!$B$10,Constants!$B$11))</f>
        <v>8.5399999999999991</v>
      </c>
      <c r="AL79" s="146" t="str">
        <f t="shared" si="31"/>
        <v>BVR</v>
      </c>
      <c r="AM79" s="206" t="str">
        <f t="shared" si="32"/>
        <v/>
      </c>
      <c r="AN79" s="146">
        <f t="shared" si="33"/>
        <v>10</v>
      </c>
      <c r="AO79" s="149" t="str">
        <f t="shared" si="34"/>
        <v>Remortgage</v>
      </c>
      <c r="AP79" s="150" t="str">
        <f t="shared" si="35"/>
        <v>ProductTransfer</v>
      </c>
      <c r="AQ79" s="146">
        <f>IFERROR(_xlfn.IFNA(IF($BA79="No",0,IF(INDEX(Constants!B:B,MATCH(($I79/12),Constants!$A:$A,0))=0,0,INDEX(Constants!B:B,MATCH(($I79/12),Constants!$A:$A,0)))),0),"")</f>
        <v>2.5</v>
      </c>
      <c r="AR79" s="146">
        <f>IFERROR(_xlfn.IFNA(IF($BA79="No",0,IF(INDEX(Constants!C:C,MATCH(($I79/12),Constants!$A:$A,0))=0,0,INDEX(Constants!C:C,MATCH(($I79/12),Constants!$A:$A,0)))),0),"")</f>
        <v>1.5</v>
      </c>
      <c r="AS79" s="146">
        <f>IFERROR(_xlfn.IFNA(IF($BA79="No",0,IF(INDEX(Constants!D:D,MATCH(($I79/12),Constants!$A:$A,0))=0,0,INDEX(Constants!D:D,MATCH(($I79/12),Constants!$A:$A,0)))),0),"")</f>
        <v>0</v>
      </c>
      <c r="AT79" s="146">
        <f>IFERROR(_xlfn.IFNA(IF($BA79="No",0,IF(INDEX(Constants!E:E,MATCH(($I79/12),Constants!$A:$A,0))=0,0,INDEX(Constants!E:E,MATCH(($I79/12),Constants!$A:$A,0)))),0),"")</f>
        <v>0</v>
      </c>
      <c r="AU79" s="146">
        <f>IFERROR(_xlfn.IFNA(IF($BA79="No",0,IF(INDEX(Constants!F:F,MATCH(($I79/12),Constants!$A:$A,0))=0,0,INDEX(Constants!F:F,MATCH(($I79/12),Constants!$A:$A,0)))),0),"")</f>
        <v>0</v>
      </c>
      <c r="AV79" s="146">
        <f>IFERROR(_xlfn.IFNA(IF($BA79="No",0,IF(INDEX(Constants!G:G,MATCH(($I79/12),Constants!$A:$A,0))=0,0,INDEX(Constants!G:G,MATCH(($I79/12),Constants!$A:$A,0)))),0),"")</f>
        <v>0</v>
      </c>
      <c r="AW79" s="146">
        <f>IFERROR(_xlfn.IFNA(IF($BA79="No",0,IF(INDEX(Constants!H:H,MATCH(($I79/12),Constants!$A:$A,0))=0,0,INDEX(Constants!H:H,MATCH(($I79/12),Constants!$A:$A,0)))),0),"")</f>
        <v>0</v>
      </c>
      <c r="AX79" s="146">
        <f>IFERROR(_xlfn.IFNA(IF($BA79="No",0,IF(INDEX(Constants!I:I,MATCH(($I79/12),Constants!$A:$A,0))=0,0,INDEX(Constants!I:I,MATCH(($I79/12),Constants!$A:$A,0)))),0),"")</f>
        <v>0</v>
      </c>
      <c r="AY79" s="146">
        <f>IFERROR(_xlfn.IFNA(IF($BA79="No",0,IF(INDEX(Constants!J:J,MATCH(($I79/12),Constants!$A:$A,0))=0,0,INDEX(Constants!J:J,MATCH(($I79/12),Constants!$A:$A,0)))),0),"")</f>
        <v>0</v>
      </c>
      <c r="AZ79" s="146">
        <f>IFERROR(_xlfn.IFNA(IF($BA79="No",0,IF(INDEX(Constants!K:K,MATCH(($I79/12),Constants!$A:$A,0))=0,0,INDEX(Constants!K:K,MATCH(($I79/12),Constants!$A:$A,0)))),0),"")</f>
        <v>0</v>
      </c>
      <c r="BA79" s="147" t="str">
        <f>_xlfn.IFNA(INDEX(Producer!$L:$L,MATCH($D79,Producer!$A:$A,0)),"")</f>
        <v>Yes</v>
      </c>
      <c r="BB79" s="146" t="str">
        <f>IFERROR(IF(AQ79=0,"",IF(($I79/12)=15,_xlfn.CONCAT(Constants!$N$7,TEXT(DATE(YEAR(H79)-(($I79/12)-3),MONTH(H79),DAY(H79)),"dd/mm/yyyy"),", ",Constants!$P$7,TEXT(DATE(YEAR(H79)-(($I79/12)-8),MONTH(H79),DAY(H79)),"dd/mm/yyyy"),", ",Constants!$T$7,TEXT(DATE(YEAR(H79)-(($I79/12)-11),MONTH(H79),DAY(H79)),"dd/mm/yyyy"),", ",Constants!$V$7,TEXT(DATE(YEAR(H79)-(($I79/12)-13),MONTH(H79),DAY(H79)),"dd/mm/yyyy"),", ",Constants!$W$7,TEXT($H79,"dd/mm/yyyy")),IF(($I79/12)=10,_xlfn.CONCAT(Constants!$N$6,TEXT(DATE(YEAR(H79)-(($I79/12)-2),MONTH(H79),DAY(H79)),"dd/mm/yyyy"),", ",Constants!$P$6,TEXT(DATE(YEAR(H79)-(($I79/12)-6),MONTH(H79),DAY(H79)),"dd/mm/yyyy"),", ",Constants!$T$6,TEXT(DATE(YEAR(H79)-(($I79/12)-8),MONTH(H79),DAY(H79)),"dd/mm/yyyy"),", ",Constants!$V$6,TEXT(DATE(YEAR(H79)-(($I79/12)-9),MONTH(H79),DAY(H79)),"dd/mm/yyyy"),", ",Constants!$W$6,TEXT($H79,"dd/mm/yyyy")),IF(($I79/12)=5,_xlfn.CONCAT(Constants!$N$5,TEXT(DATE(YEAR(H79)-(($I79/12)-1),MONTH(H79),DAY(H79)),"dd/mm/yyyy"),", ",Constants!$O$5,TEXT(DATE(YEAR(H79)-(($I79/12)-2),MONTH(H79),DAY(H79)),"dd/mm/yyyy"),", ",Constants!$P$5,TEXT(DATE(YEAR(H79)-(($I79/12)-3),MONTH(H79),DAY(H79)),"dd/mm/yyyy"),", ",Constants!$Q$5,TEXT(DATE(YEAR(H79)-(($I79/12)-4),MONTH(H79),DAY(H79)),"dd/mm/yyyy"),", ",Constants!$R$5,TEXT($H79,"dd/mm/yyyy")),IF(($I79/12)=3,_xlfn.CONCAT(Constants!$N$4,TEXT(DATE(YEAR(H79)-(($I79/12)-1),MONTH(H79),DAY(H79)),"dd/mm/yyyy"),", ",Constants!$O$4,TEXT(DATE(YEAR(H79)-(($I79/12)-2),MONTH(H79),DAY(H79)),"dd/mm/yyyy"),", ",Constants!$P$4,TEXT($H79,"dd/mm/yyyy")),IF(($I79/12)=2,_xlfn.CONCAT(Constants!$N$3,TEXT(DATE(YEAR(H79)-(($I79/12)-1),MONTH(H79),DAY(H79)),"dd/mm/yyyy"),", ",Constants!$O$3,TEXT($H79,"dd/mm/yyyy")),IF(($I79/12)=1,_xlfn.CONCAT(Constants!$N$2,TEXT($H79,"dd/mm/yyyy")),"Update Constants"))))))),"")</f>
        <v>2.5% to 31/01/2026, 1.5% to 31/01/2027</v>
      </c>
      <c r="BC79" s="147">
        <f>_xlfn.IFNA(VALUE(INDEX(Producer!$K:$K,MATCH($D79,Producer!$A:$A,0))),"")</f>
        <v>0</v>
      </c>
      <c r="BD79" s="147" t="str">
        <f>_xlfn.IFNA(INDEX(Producer!$I:$I,MATCH($D79,Producer!$A:$A,0)),"")</f>
        <v>No</v>
      </c>
      <c r="BE79" s="147" t="str">
        <f t="shared" si="36"/>
        <v>Yes</v>
      </c>
      <c r="BF79" s="147"/>
      <c r="BG79" s="147"/>
      <c r="BH79" s="151">
        <f>_xlfn.IFNA(INDEX(Constants!$B:$B,MATCH(BC79,Constants!A:A,0)),"")</f>
        <v>0</v>
      </c>
      <c r="BI79" s="147">
        <f>IF(LEFT(B79,15)="Limited Company",Constants!$D$16,IFERROR(_xlfn.IFNA(IF(C79="Residential",IF(BK79&lt;75,INDEX(Constants!$B:$B,MATCH(VALUE(60)/100,Constants!$A:$A,0)),INDEX(Constants!$B:$B,MATCH(VALUE(BK79)/100,Constants!$A:$A,0))),IF(BK79&lt;60,INDEX(Constants!$C:$C,MATCH(VALUE(60)/100,Constants!$A:$A,0)),INDEX(Constants!$C:$C,MATCH(VALUE(BK79)/100,Constants!$A:$A,0)))),""),""))</f>
        <v>1000000</v>
      </c>
      <c r="BJ79" s="147">
        <f t="shared" si="37"/>
        <v>0</v>
      </c>
      <c r="BK79" s="147">
        <f>_xlfn.IFNA(VALUE(INDEX(Producer!$E:$E,MATCH($D79,Producer!$A:$A,0)))*100,"")</f>
        <v>75</v>
      </c>
      <c r="BL79" s="146" t="str">
        <f>_xlfn.IFNA(IF(IFERROR(FIND("Part &amp; Part",B79),-10)&gt;0,"PP",IF(OR(LEFT(B79,25)="Residential Interest Only",INDEX(Producer!$P:$P,MATCH($D79,Producer!$A:$A,0))="IO",INDEX(Producer!$P:$P,MATCH($D79,Producer!$A:$A,0))="Retirement Interest Only"),"IO",IF($C79="BuyToLet","CI, IO","CI"))),"")</f>
        <v>CI, IO</v>
      </c>
      <c r="BM79" s="152">
        <f>_xlfn.IFNA(IF(BL79="IO",100%,IF(AND(INDEX(Producer!$P:$P,MATCH($D79,Producer!$A:$A,0))="Residential Interest Only Part &amp; Part",BK79=75),80%,IF(C79="BuyToLet",100%,IF(BL79="Interest Only",100%,IF(AND(INDEX(Producer!$P:$P,MATCH($D79,Producer!$A:$A,0))="Residential Interest Only Part &amp; Part",BK79=60),100%,""))))),"")</f>
        <v>1</v>
      </c>
      <c r="BN79" s="218" t="str">
        <f>_xlfn.IFNA(IF(VALUE(INDEX(Producer!$H:$H,MATCH($D79,Producer!$A:$A,0)))=0,"",VALUE(INDEX(Producer!$H:$H,MATCH($D79,Producer!$A:$A,0)))),"")</f>
        <v/>
      </c>
      <c r="BO79" s="153"/>
      <c r="BP79" s="153"/>
      <c r="BQ79" s="219">
        <f t="shared" si="38"/>
        <v>35</v>
      </c>
      <c r="BR79" s="146"/>
      <c r="BS79" s="146"/>
      <c r="BT79" s="146"/>
      <c r="BU79" s="146"/>
      <c r="BV79" s="219">
        <f t="shared" si="39"/>
        <v>199</v>
      </c>
      <c r="BW79" s="146"/>
      <c r="BX79" s="146"/>
      <c r="BY79" s="146" t="str">
        <f t="shared" si="40"/>
        <v>No</v>
      </c>
      <c r="BZ79" s="146" t="str">
        <f t="shared" si="41"/>
        <v>No</v>
      </c>
      <c r="CA79" s="146" t="str">
        <f t="shared" si="42"/>
        <v>No</v>
      </c>
      <c r="CB79" s="146" t="str">
        <f t="shared" si="43"/>
        <v>No</v>
      </c>
      <c r="CC79" s="146" t="str">
        <f>_xlfn.IFNA(IF(INDEX(Producer!$P:$P,MATCH($D79,Producer!$A:$A,0))="Help to Buy","Only available","No"),"")</f>
        <v>No</v>
      </c>
      <c r="CD79" s="146" t="str">
        <f>_xlfn.IFNA(IF(INDEX(Producer!$P:$P,MATCH($D79,Producer!$A:$A,0))="Shared Ownership","Only available","No"),"")</f>
        <v>No</v>
      </c>
      <c r="CE79" s="146" t="str">
        <f>_xlfn.IFNA(IF(INDEX(Producer!$P:$P,MATCH($D79,Producer!$A:$A,0))="Right to Buy","Only available","No"),"")</f>
        <v>No</v>
      </c>
      <c r="CF79" s="146" t="str">
        <f t="shared" si="44"/>
        <v>No</v>
      </c>
      <c r="CG79" s="146" t="str">
        <f>_xlfn.IFNA(IF(INDEX(Producer!$P:$P,MATCH($D79,Producer!$A:$A,0))="Retirement Interest Only","Only available","No"),"")</f>
        <v>No</v>
      </c>
      <c r="CH79" s="146" t="str">
        <f t="shared" si="45"/>
        <v>No</v>
      </c>
      <c r="CI79" s="146" t="str">
        <f>_xlfn.IFNA(IF(INDEX(Producer!$P:$P,MATCH($D79,Producer!$A:$A,0))="Intermediary Holiday Let","Only available","No"),"")</f>
        <v>No</v>
      </c>
      <c r="CJ79" s="146" t="str">
        <f t="shared" si="46"/>
        <v>No</v>
      </c>
      <c r="CK79" s="146" t="str">
        <f>_xlfn.IFNA(IF(OR(INDEX(Producer!$P:$P,MATCH($D79,Producer!$A:$A,0))="Intermediary Small HMO",INDEX(Producer!$P:$P,MATCH($D79,Producer!$A:$A,0))="Intermediary Large HMO"),"Only available","No"),"")</f>
        <v>Only available</v>
      </c>
      <c r="CL79" s="146" t="str">
        <f t="shared" si="47"/>
        <v>Also available</v>
      </c>
      <c r="CM79" s="146" t="str">
        <f t="shared" si="48"/>
        <v>Also available</v>
      </c>
      <c r="CN79" s="146" t="str">
        <f t="shared" si="49"/>
        <v>No</v>
      </c>
      <c r="CO79" s="146" t="str">
        <f t="shared" si="50"/>
        <v>Also available</v>
      </c>
      <c r="CP79" s="146" t="str">
        <f t="shared" si="51"/>
        <v>No</v>
      </c>
      <c r="CQ79" s="146" t="str">
        <f t="shared" si="52"/>
        <v>No</v>
      </c>
      <c r="CR79" s="146" t="str">
        <f t="shared" si="53"/>
        <v>Also available</v>
      </c>
      <c r="CS79" s="146" t="str">
        <f t="shared" si="54"/>
        <v>Only available</v>
      </c>
      <c r="CT79" s="146" t="str">
        <f t="shared" si="55"/>
        <v>No</v>
      </c>
      <c r="CU79" s="146"/>
    </row>
    <row r="80" spans="1:99" ht="16.399999999999999" customHeight="1" x14ac:dyDescent="0.35">
      <c r="A80" s="145" t="str">
        <f t="shared" si="28"/>
        <v>Leeds Building Society</v>
      </c>
      <c r="B80" s="145" t="str">
        <f>_xlfn.IFNA(_xlfn.CONCAT(INDEX(Producer!$P:$P,MATCH($D80,Producer!$A:$A,0))," ",IF(INDEX(Producer!$N:$N,MATCH($D80,Producer!$A:$A,0))="Yes","Green ",""),IF(AND(INDEX(Producer!$L:$L,MATCH($D80,Producer!$A:$A,0))="No",INDEX(Producer!$C:$C,MATCH($D80,Producer!$A:$A,0))="Fixed"),"Flexit ",""),INDEX(Producer!$B:$B,MATCH($D80,Producer!$A:$A,0))," Year ",INDEX(Producer!$C:$C,MATCH($D80,Producer!$A:$A,0))," ",VALUE(INDEX(Producer!$E:$E,MATCH($D80,Producer!$A:$A,0)))*100,"% LTV",IF(INDEX(Producer!$N:$N,MATCH($D80,Producer!$A:$A,0))="Yes"," (EPC A-C)","")," - ",IF(INDEX(Producer!$D:$D,MATCH($D80,Producer!$A:$A,0))="DLY","Daily","Annual")),"")</f>
        <v>Intermediary Large HMO 2 Year Fixed 125% LTV - Daily</v>
      </c>
      <c r="C80" s="146" t="str">
        <f>_xlfn.IFNA(INDEX(Producer!$Q:$Q,MATCH($D80,Producer!$A:$A,0)),"")</f>
        <v>BuyToLet</v>
      </c>
      <c r="D80" s="146">
        <f>IFERROR(VALUE(MID(Producer!$R$2,IF($D79="",1/0,FIND(_xlfn.CONCAT($D78,$D79),Producer!$R$2)+10),5)),"")</f>
        <v>54319</v>
      </c>
      <c r="E80" s="146" t="str">
        <f t="shared" si="29"/>
        <v>Stepped Fixed</v>
      </c>
      <c r="F80" s="146"/>
      <c r="G80" s="147">
        <f>_xlfn.IFNA(VALUE(INDEX(Producer!$F:$F,MATCH($D80,Producer!$A:$A,0)))*100,"")</f>
        <v>7.6899999999999995</v>
      </c>
      <c r="H80" s="216">
        <f>_xlfn.IFNA(IFERROR(DATEVALUE(INDEX(Producer!$M:$M,MATCH($D80,Producer!$A:$A,0))),(INDEX(Producer!$M:$M,MATCH($D80,Producer!$A:$A,0)))),"")</f>
        <v>46418</v>
      </c>
      <c r="I80" s="217">
        <f>_xlfn.IFNA(VALUE(INDEX(Producer!$B:$B,MATCH($D80,Producer!$A:$A,0)))*12,"")</f>
        <v>24</v>
      </c>
      <c r="J80" s="146">
        <f>_xlfn.IFNA(IF(C80="Residential",IF(VALUE(INDEX(Producer!$B:$B,MATCH($D80,Producer!$A:$A,0)))&lt;5,Constants!$C$10,""),IF(VALUE(INDEX(Producer!$B:$B,MATCH($D80,Producer!$A:$A,0)))&lt;5,Constants!$C$11,"")),"")</f>
        <v>7.54</v>
      </c>
      <c r="K80" s="216">
        <f>_xlfn.IFNA(IF(($I80)&lt;60,DATE(YEAR(H80)+(5-VALUE(INDEX(Producer!$B:$B,MATCH($D80,Producer!$A:$A,0)))),MONTH(H80),DAY(H80)),""),"")</f>
        <v>47514</v>
      </c>
      <c r="L80" s="153">
        <f t="shared" si="30"/>
        <v>36</v>
      </c>
      <c r="M80" s="146"/>
      <c r="N80" s="148"/>
      <c r="O80" s="148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>
        <f>IF(D80="","",IF(C80="Residential",Constants!$B$10,Constants!$B$11))</f>
        <v>8.5399999999999991</v>
      </c>
      <c r="AL80" s="146" t="str">
        <f t="shared" si="31"/>
        <v>BVR</v>
      </c>
      <c r="AM80" s="206" t="str">
        <f t="shared" si="32"/>
        <v/>
      </c>
      <c r="AN80" s="146">
        <f t="shared" si="33"/>
        <v>10</v>
      </c>
      <c r="AO80" s="149" t="str">
        <f t="shared" si="34"/>
        <v>Remortgage</v>
      </c>
      <c r="AP80" s="150" t="str">
        <f t="shared" si="35"/>
        <v>ProductTransfer</v>
      </c>
      <c r="AQ80" s="146">
        <f>IFERROR(_xlfn.IFNA(IF($BA80="No",0,IF(INDEX(Constants!B:B,MATCH(($I80/12),Constants!$A:$A,0))=0,0,INDEX(Constants!B:B,MATCH(($I80/12),Constants!$A:$A,0)))),0),"")</f>
        <v>2.5</v>
      </c>
      <c r="AR80" s="146">
        <f>IFERROR(_xlfn.IFNA(IF($BA80="No",0,IF(INDEX(Constants!C:C,MATCH(($I80/12),Constants!$A:$A,0))=0,0,INDEX(Constants!C:C,MATCH(($I80/12),Constants!$A:$A,0)))),0),"")</f>
        <v>1.5</v>
      </c>
      <c r="AS80" s="146">
        <f>IFERROR(_xlfn.IFNA(IF($BA80="No",0,IF(INDEX(Constants!D:D,MATCH(($I80/12),Constants!$A:$A,0))=0,0,INDEX(Constants!D:D,MATCH(($I80/12),Constants!$A:$A,0)))),0),"")</f>
        <v>0</v>
      </c>
      <c r="AT80" s="146">
        <f>IFERROR(_xlfn.IFNA(IF($BA80="No",0,IF(INDEX(Constants!E:E,MATCH(($I80/12),Constants!$A:$A,0))=0,0,INDEX(Constants!E:E,MATCH(($I80/12),Constants!$A:$A,0)))),0),"")</f>
        <v>0</v>
      </c>
      <c r="AU80" s="146">
        <f>IFERROR(_xlfn.IFNA(IF($BA80="No",0,IF(INDEX(Constants!F:F,MATCH(($I80/12),Constants!$A:$A,0))=0,0,INDEX(Constants!F:F,MATCH(($I80/12),Constants!$A:$A,0)))),0),"")</f>
        <v>0</v>
      </c>
      <c r="AV80" s="146">
        <f>IFERROR(_xlfn.IFNA(IF($BA80="No",0,IF(INDEX(Constants!G:G,MATCH(($I80/12),Constants!$A:$A,0))=0,0,INDEX(Constants!G:G,MATCH(($I80/12),Constants!$A:$A,0)))),0),"")</f>
        <v>0</v>
      </c>
      <c r="AW80" s="146">
        <f>IFERROR(_xlfn.IFNA(IF($BA80="No",0,IF(INDEX(Constants!H:H,MATCH(($I80/12),Constants!$A:$A,0))=0,0,INDEX(Constants!H:H,MATCH(($I80/12),Constants!$A:$A,0)))),0),"")</f>
        <v>0</v>
      </c>
      <c r="AX80" s="146">
        <f>IFERROR(_xlfn.IFNA(IF($BA80="No",0,IF(INDEX(Constants!I:I,MATCH(($I80/12),Constants!$A:$A,0))=0,0,INDEX(Constants!I:I,MATCH(($I80/12),Constants!$A:$A,0)))),0),"")</f>
        <v>0</v>
      </c>
      <c r="AY80" s="146">
        <f>IFERROR(_xlfn.IFNA(IF($BA80="No",0,IF(INDEX(Constants!J:J,MATCH(($I80/12),Constants!$A:$A,0))=0,0,INDEX(Constants!J:J,MATCH(($I80/12),Constants!$A:$A,0)))),0),"")</f>
        <v>0</v>
      </c>
      <c r="AZ80" s="146">
        <f>IFERROR(_xlfn.IFNA(IF($BA80="No",0,IF(INDEX(Constants!K:K,MATCH(($I80/12),Constants!$A:$A,0))=0,0,INDEX(Constants!K:K,MATCH(($I80/12),Constants!$A:$A,0)))),0),"")</f>
        <v>0</v>
      </c>
      <c r="BA80" s="147" t="str">
        <f>_xlfn.IFNA(INDEX(Producer!$L:$L,MATCH($D80,Producer!$A:$A,0)),"")</f>
        <v>Yes</v>
      </c>
      <c r="BB80" s="146" t="str">
        <f>IFERROR(IF(AQ80=0,"",IF(($I80/12)=15,_xlfn.CONCAT(Constants!$N$7,TEXT(DATE(YEAR(H80)-(($I80/12)-3),MONTH(H80),DAY(H80)),"dd/mm/yyyy"),", ",Constants!$P$7,TEXT(DATE(YEAR(H80)-(($I80/12)-8),MONTH(H80),DAY(H80)),"dd/mm/yyyy"),", ",Constants!$T$7,TEXT(DATE(YEAR(H80)-(($I80/12)-11),MONTH(H80),DAY(H80)),"dd/mm/yyyy"),", ",Constants!$V$7,TEXT(DATE(YEAR(H80)-(($I80/12)-13),MONTH(H80),DAY(H80)),"dd/mm/yyyy"),", ",Constants!$W$7,TEXT($H80,"dd/mm/yyyy")),IF(($I80/12)=10,_xlfn.CONCAT(Constants!$N$6,TEXT(DATE(YEAR(H80)-(($I80/12)-2),MONTH(H80),DAY(H80)),"dd/mm/yyyy"),", ",Constants!$P$6,TEXT(DATE(YEAR(H80)-(($I80/12)-6),MONTH(H80),DAY(H80)),"dd/mm/yyyy"),", ",Constants!$T$6,TEXT(DATE(YEAR(H80)-(($I80/12)-8),MONTH(H80),DAY(H80)),"dd/mm/yyyy"),", ",Constants!$V$6,TEXT(DATE(YEAR(H80)-(($I80/12)-9),MONTH(H80),DAY(H80)),"dd/mm/yyyy"),", ",Constants!$W$6,TEXT($H80,"dd/mm/yyyy")),IF(($I80/12)=5,_xlfn.CONCAT(Constants!$N$5,TEXT(DATE(YEAR(H80)-(($I80/12)-1),MONTH(H80),DAY(H80)),"dd/mm/yyyy"),", ",Constants!$O$5,TEXT(DATE(YEAR(H80)-(($I80/12)-2),MONTH(H80),DAY(H80)),"dd/mm/yyyy"),", ",Constants!$P$5,TEXT(DATE(YEAR(H80)-(($I80/12)-3),MONTH(H80),DAY(H80)),"dd/mm/yyyy"),", ",Constants!$Q$5,TEXT(DATE(YEAR(H80)-(($I80/12)-4),MONTH(H80),DAY(H80)),"dd/mm/yyyy"),", ",Constants!$R$5,TEXT($H80,"dd/mm/yyyy")),IF(($I80/12)=3,_xlfn.CONCAT(Constants!$N$4,TEXT(DATE(YEAR(H80)-(($I80/12)-1),MONTH(H80),DAY(H80)),"dd/mm/yyyy"),", ",Constants!$O$4,TEXT(DATE(YEAR(H80)-(($I80/12)-2),MONTH(H80),DAY(H80)),"dd/mm/yyyy"),", ",Constants!$P$4,TEXT($H80,"dd/mm/yyyy")),IF(($I80/12)=2,_xlfn.CONCAT(Constants!$N$3,TEXT(DATE(YEAR(H80)-(($I80/12)-1),MONTH(H80),DAY(H80)),"dd/mm/yyyy"),", ",Constants!$O$3,TEXT($H80,"dd/mm/yyyy")),IF(($I80/12)=1,_xlfn.CONCAT(Constants!$N$2,TEXT($H80,"dd/mm/yyyy")),"Update Constants"))))))),"")</f>
        <v>2.5% to 31/01/2026, 1.5% to 31/01/2027</v>
      </c>
      <c r="BC80" s="147">
        <f>_xlfn.IFNA(VALUE(INDEX(Producer!$K:$K,MATCH($D80,Producer!$A:$A,0))),"")</f>
        <v>0</v>
      </c>
      <c r="BD80" s="147" t="str">
        <f>_xlfn.IFNA(INDEX(Producer!$I:$I,MATCH($D80,Producer!$A:$A,0)),"")</f>
        <v>No</v>
      </c>
      <c r="BE80" s="147" t="str">
        <f t="shared" si="36"/>
        <v>Yes</v>
      </c>
      <c r="BF80" s="147"/>
      <c r="BG80" s="147"/>
      <c r="BH80" s="151">
        <f>_xlfn.IFNA(INDEX(Constants!$B:$B,MATCH(BC80,Constants!A:A,0)),"")</f>
        <v>0</v>
      </c>
      <c r="BI80" s="147" t="str">
        <f>IF(LEFT(B80,15)="Limited Company",Constants!$D$16,IFERROR(_xlfn.IFNA(IF(C80="Residential",IF(BK80&lt;75,INDEX(Constants!$B:$B,MATCH(VALUE(60)/100,Constants!$A:$A,0)),INDEX(Constants!$B:$B,MATCH(VALUE(BK80)/100,Constants!$A:$A,0))),IF(BK80&lt;60,INDEX(Constants!$C:$C,MATCH(VALUE(60)/100,Constants!$A:$A,0)),INDEX(Constants!$C:$C,MATCH(VALUE(BK80)/100,Constants!$A:$A,0)))),""),""))</f>
        <v/>
      </c>
      <c r="BJ80" s="147">
        <f t="shared" si="37"/>
        <v>0</v>
      </c>
      <c r="BK80" s="147">
        <f>_xlfn.IFNA(VALUE(INDEX(Producer!$E:$E,MATCH($D80,Producer!$A:$A,0)))*100,"")</f>
        <v>125</v>
      </c>
      <c r="BL80" s="146" t="str">
        <f>_xlfn.IFNA(IF(IFERROR(FIND("Part &amp; Part",B80),-10)&gt;0,"PP",IF(OR(LEFT(B80,25)="Residential Interest Only",INDEX(Producer!$P:$P,MATCH($D80,Producer!$A:$A,0))="IO",INDEX(Producer!$P:$P,MATCH($D80,Producer!$A:$A,0))="Retirement Interest Only"),"IO",IF($C80="BuyToLet","CI, IO","CI"))),"")</f>
        <v>CI, IO</v>
      </c>
      <c r="BM80" s="152">
        <f>_xlfn.IFNA(IF(BL80="IO",100%,IF(AND(INDEX(Producer!$P:$P,MATCH($D80,Producer!$A:$A,0))="Residential Interest Only Part &amp; Part",BK80=75),80%,IF(C80="BuyToLet",100%,IF(BL80="Interest Only",100%,IF(AND(INDEX(Producer!$P:$P,MATCH($D80,Producer!$A:$A,0))="Residential Interest Only Part &amp; Part",BK80=60),100%,""))))),"")</f>
        <v>1</v>
      </c>
      <c r="BN80" s="218" t="str">
        <f>_xlfn.IFNA(IF(VALUE(INDEX(Producer!$H:$H,MATCH($D80,Producer!$A:$A,0)))=0,"",VALUE(INDEX(Producer!$H:$H,MATCH($D80,Producer!$A:$A,0)))),"")</f>
        <v/>
      </c>
      <c r="BO80" s="153"/>
      <c r="BP80" s="153"/>
      <c r="BQ80" s="219">
        <f t="shared" si="38"/>
        <v>35</v>
      </c>
      <c r="BR80" s="146"/>
      <c r="BS80" s="146"/>
      <c r="BT80" s="146"/>
      <c r="BU80" s="146"/>
      <c r="BV80" s="219">
        <f t="shared" si="39"/>
        <v>199</v>
      </c>
      <c r="BW80" s="146"/>
      <c r="BX80" s="146"/>
      <c r="BY80" s="146" t="str">
        <f t="shared" si="40"/>
        <v>No</v>
      </c>
      <c r="BZ80" s="146" t="str">
        <f t="shared" si="41"/>
        <v>No</v>
      </c>
      <c r="CA80" s="146" t="str">
        <f t="shared" si="42"/>
        <v>No</v>
      </c>
      <c r="CB80" s="146" t="str">
        <f t="shared" si="43"/>
        <v>No</v>
      </c>
      <c r="CC80" s="146" t="str">
        <f>_xlfn.IFNA(IF(INDEX(Producer!$P:$P,MATCH($D80,Producer!$A:$A,0))="Help to Buy","Only available","No"),"")</f>
        <v>No</v>
      </c>
      <c r="CD80" s="146" t="str">
        <f>_xlfn.IFNA(IF(INDEX(Producer!$P:$P,MATCH($D80,Producer!$A:$A,0))="Shared Ownership","Only available","No"),"")</f>
        <v>No</v>
      </c>
      <c r="CE80" s="146" t="str">
        <f>_xlfn.IFNA(IF(INDEX(Producer!$P:$P,MATCH($D80,Producer!$A:$A,0))="Right to Buy","Only available","No"),"")</f>
        <v>No</v>
      </c>
      <c r="CF80" s="146" t="str">
        <f t="shared" si="44"/>
        <v>No</v>
      </c>
      <c r="CG80" s="146" t="str">
        <f>_xlfn.IFNA(IF(INDEX(Producer!$P:$P,MATCH($D80,Producer!$A:$A,0))="Retirement Interest Only","Only available","No"),"")</f>
        <v>No</v>
      </c>
      <c r="CH80" s="146" t="str">
        <f t="shared" si="45"/>
        <v>No</v>
      </c>
      <c r="CI80" s="146" t="str">
        <f>_xlfn.IFNA(IF(INDEX(Producer!$P:$P,MATCH($D80,Producer!$A:$A,0))="Intermediary Holiday Let","Only available","No"),"")</f>
        <v>No</v>
      </c>
      <c r="CJ80" s="146" t="str">
        <f t="shared" si="46"/>
        <v>No</v>
      </c>
      <c r="CK80" s="146" t="str">
        <f>_xlfn.IFNA(IF(OR(INDEX(Producer!$P:$P,MATCH($D80,Producer!$A:$A,0))="Intermediary Small HMO",INDEX(Producer!$P:$P,MATCH($D80,Producer!$A:$A,0))="Intermediary Large HMO"),"Only available","No"),"")</f>
        <v>Only available</v>
      </c>
      <c r="CL80" s="146" t="str">
        <f t="shared" si="47"/>
        <v>Also available</v>
      </c>
      <c r="CM80" s="146" t="str">
        <f t="shared" si="48"/>
        <v>Also available</v>
      </c>
      <c r="CN80" s="146" t="str">
        <f t="shared" si="49"/>
        <v>No</v>
      </c>
      <c r="CO80" s="146" t="str">
        <f t="shared" si="50"/>
        <v>No</v>
      </c>
      <c r="CP80" s="146" t="str">
        <f t="shared" si="51"/>
        <v>No</v>
      </c>
      <c r="CQ80" s="146" t="str">
        <f t="shared" si="52"/>
        <v>No</v>
      </c>
      <c r="CR80" s="146" t="str">
        <f t="shared" si="53"/>
        <v>Also available</v>
      </c>
      <c r="CS80" s="146" t="str">
        <f t="shared" si="54"/>
        <v>Only available</v>
      </c>
      <c r="CT80" s="146" t="str">
        <f t="shared" si="55"/>
        <v>No</v>
      </c>
      <c r="CU80" s="146"/>
    </row>
    <row r="81" spans="1:99" ht="16.399999999999999" customHeight="1" x14ac:dyDescent="0.35">
      <c r="A81" s="145" t="str">
        <f t="shared" si="28"/>
        <v>Leeds Building Society</v>
      </c>
      <c r="B81" s="145" t="str">
        <f>_xlfn.IFNA(_xlfn.CONCAT(INDEX(Producer!$P:$P,MATCH($D81,Producer!$A:$A,0))," ",IF(INDEX(Producer!$N:$N,MATCH($D81,Producer!$A:$A,0))="Yes","Green ",""),IF(AND(INDEX(Producer!$L:$L,MATCH($D81,Producer!$A:$A,0))="No",INDEX(Producer!$C:$C,MATCH($D81,Producer!$A:$A,0))="Fixed"),"Flexit ",""),INDEX(Producer!$B:$B,MATCH($D81,Producer!$A:$A,0))," Year ",INDEX(Producer!$C:$C,MATCH($D81,Producer!$A:$A,0))," ",VALUE(INDEX(Producer!$E:$E,MATCH($D81,Producer!$A:$A,0)))*100,"% LTV",IF(INDEX(Producer!$N:$N,MATCH($D81,Producer!$A:$A,0))="Yes"," (EPC A-C)","")," - ",IF(INDEX(Producer!$D:$D,MATCH($D81,Producer!$A:$A,0))="DLY","Daily","Annual")),"")</f>
        <v>Intermediary Large HMO 5 Year Fixed 75% LTV - Daily</v>
      </c>
      <c r="C81" s="146" t="str">
        <f>_xlfn.IFNA(INDEX(Producer!$Q:$Q,MATCH($D81,Producer!$A:$A,0)),"")</f>
        <v>BuyToLet</v>
      </c>
      <c r="D81" s="146">
        <f>IFERROR(VALUE(MID(Producer!$R$2,IF($D80="",1/0,FIND(_xlfn.CONCAT($D79,$D80),Producer!$R$2)+10),5)),"")</f>
        <v>54320</v>
      </c>
      <c r="E81" s="146" t="str">
        <f t="shared" si="29"/>
        <v>Fixed</v>
      </c>
      <c r="F81" s="146"/>
      <c r="G81" s="147">
        <f>_xlfn.IFNA(VALUE(INDEX(Producer!$F:$F,MATCH($D81,Producer!$A:$A,0)))*100,"")</f>
        <v>6.34</v>
      </c>
      <c r="H81" s="216">
        <f>_xlfn.IFNA(IFERROR(DATEVALUE(INDEX(Producer!$M:$M,MATCH($D81,Producer!$A:$A,0))),(INDEX(Producer!$M:$M,MATCH($D81,Producer!$A:$A,0)))),"")</f>
        <v>47514</v>
      </c>
      <c r="I81" s="217">
        <f>_xlfn.IFNA(VALUE(INDEX(Producer!$B:$B,MATCH($D81,Producer!$A:$A,0)))*12,"")</f>
        <v>60</v>
      </c>
      <c r="J81" s="146" t="str">
        <f>_xlfn.IFNA(IF(C81="Residential",IF(VALUE(INDEX(Producer!$B:$B,MATCH($D81,Producer!$A:$A,0)))&lt;5,Constants!$C$10,""),IF(VALUE(INDEX(Producer!$B:$B,MATCH($D81,Producer!$A:$A,0)))&lt;5,Constants!$C$11,"")),"")</f>
        <v/>
      </c>
      <c r="K81" s="216" t="str">
        <f>_xlfn.IFNA(IF(($I81)&lt;60,DATE(YEAR(H81)+(5-VALUE(INDEX(Producer!$B:$B,MATCH($D81,Producer!$A:$A,0)))),MONTH(H81),DAY(H81)),""),"")</f>
        <v/>
      </c>
      <c r="L81" s="153" t="str">
        <f t="shared" si="30"/>
        <v/>
      </c>
      <c r="M81" s="146"/>
      <c r="N81" s="148"/>
      <c r="O81" s="148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>
        <f>IF(D81="","",IF(C81="Residential",Constants!$B$10,Constants!$B$11))</f>
        <v>8.5399999999999991</v>
      </c>
      <c r="AL81" s="146" t="str">
        <f t="shared" si="31"/>
        <v>BVR</v>
      </c>
      <c r="AM81" s="206" t="str">
        <f t="shared" si="32"/>
        <v/>
      </c>
      <c r="AN81" s="146">
        <f t="shared" si="33"/>
        <v>10</v>
      </c>
      <c r="AO81" s="149" t="str">
        <f t="shared" si="34"/>
        <v>Remortgage</v>
      </c>
      <c r="AP81" s="150" t="str">
        <f t="shared" si="35"/>
        <v>ProductTransfer</v>
      </c>
      <c r="AQ81" s="146">
        <f>IFERROR(_xlfn.IFNA(IF($BA81="No",0,IF(INDEX(Constants!B:B,MATCH(($I81/12),Constants!$A:$A,0))=0,0,INDEX(Constants!B:B,MATCH(($I81/12),Constants!$A:$A,0)))),0),"")</f>
        <v>5</v>
      </c>
      <c r="AR81" s="146">
        <f>IFERROR(_xlfn.IFNA(IF($BA81="No",0,IF(INDEX(Constants!C:C,MATCH(($I81/12),Constants!$A:$A,0))=0,0,INDEX(Constants!C:C,MATCH(($I81/12),Constants!$A:$A,0)))),0),"")</f>
        <v>5</v>
      </c>
      <c r="AS81" s="146">
        <f>IFERROR(_xlfn.IFNA(IF($BA81="No",0,IF(INDEX(Constants!D:D,MATCH(($I81/12),Constants!$A:$A,0))=0,0,INDEX(Constants!D:D,MATCH(($I81/12),Constants!$A:$A,0)))),0),"")</f>
        <v>4</v>
      </c>
      <c r="AT81" s="146">
        <f>IFERROR(_xlfn.IFNA(IF($BA81="No",0,IF(INDEX(Constants!E:E,MATCH(($I81/12),Constants!$A:$A,0))=0,0,INDEX(Constants!E:E,MATCH(($I81/12),Constants!$A:$A,0)))),0),"")</f>
        <v>3</v>
      </c>
      <c r="AU81" s="146">
        <f>IFERROR(_xlfn.IFNA(IF($BA81="No",0,IF(INDEX(Constants!F:F,MATCH(($I81/12),Constants!$A:$A,0))=0,0,INDEX(Constants!F:F,MATCH(($I81/12),Constants!$A:$A,0)))),0),"")</f>
        <v>2</v>
      </c>
      <c r="AV81" s="146">
        <f>IFERROR(_xlfn.IFNA(IF($BA81="No",0,IF(INDEX(Constants!G:G,MATCH(($I81/12),Constants!$A:$A,0))=0,0,INDEX(Constants!G:G,MATCH(($I81/12),Constants!$A:$A,0)))),0),"")</f>
        <v>0</v>
      </c>
      <c r="AW81" s="146">
        <f>IFERROR(_xlfn.IFNA(IF($BA81="No",0,IF(INDEX(Constants!H:H,MATCH(($I81/12),Constants!$A:$A,0))=0,0,INDEX(Constants!H:H,MATCH(($I81/12),Constants!$A:$A,0)))),0),"")</f>
        <v>0</v>
      </c>
      <c r="AX81" s="146">
        <f>IFERROR(_xlfn.IFNA(IF($BA81="No",0,IF(INDEX(Constants!I:I,MATCH(($I81/12),Constants!$A:$A,0))=0,0,INDEX(Constants!I:I,MATCH(($I81/12),Constants!$A:$A,0)))),0),"")</f>
        <v>0</v>
      </c>
      <c r="AY81" s="146">
        <f>IFERROR(_xlfn.IFNA(IF($BA81="No",0,IF(INDEX(Constants!J:J,MATCH(($I81/12),Constants!$A:$A,0))=0,0,INDEX(Constants!J:J,MATCH(($I81/12),Constants!$A:$A,0)))),0),"")</f>
        <v>0</v>
      </c>
      <c r="AZ81" s="146">
        <f>IFERROR(_xlfn.IFNA(IF($BA81="No",0,IF(INDEX(Constants!K:K,MATCH(($I81/12),Constants!$A:$A,0))=0,0,INDEX(Constants!K:K,MATCH(($I81/12),Constants!$A:$A,0)))),0),"")</f>
        <v>0</v>
      </c>
      <c r="BA81" s="147" t="str">
        <f>_xlfn.IFNA(INDEX(Producer!$L:$L,MATCH($D81,Producer!$A:$A,0)),"")</f>
        <v>Yes</v>
      </c>
      <c r="BB81" s="146" t="str">
        <f>IFERROR(IF(AQ81=0,"",IF(($I81/12)=15,_xlfn.CONCAT(Constants!$N$7,TEXT(DATE(YEAR(H81)-(($I81/12)-3),MONTH(H81),DAY(H81)),"dd/mm/yyyy"),", ",Constants!$P$7,TEXT(DATE(YEAR(H81)-(($I81/12)-8),MONTH(H81),DAY(H81)),"dd/mm/yyyy"),", ",Constants!$T$7,TEXT(DATE(YEAR(H81)-(($I81/12)-11),MONTH(H81),DAY(H81)),"dd/mm/yyyy"),", ",Constants!$V$7,TEXT(DATE(YEAR(H81)-(($I81/12)-13),MONTH(H81),DAY(H81)),"dd/mm/yyyy"),", ",Constants!$W$7,TEXT($H81,"dd/mm/yyyy")),IF(($I81/12)=10,_xlfn.CONCAT(Constants!$N$6,TEXT(DATE(YEAR(H81)-(($I81/12)-2),MONTH(H81),DAY(H81)),"dd/mm/yyyy"),", ",Constants!$P$6,TEXT(DATE(YEAR(H81)-(($I81/12)-6),MONTH(H81),DAY(H81)),"dd/mm/yyyy"),", ",Constants!$T$6,TEXT(DATE(YEAR(H81)-(($I81/12)-8),MONTH(H81),DAY(H81)),"dd/mm/yyyy"),", ",Constants!$V$6,TEXT(DATE(YEAR(H81)-(($I81/12)-9),MONTH(H81),DAY(H81)),"dd/mm/yyyy"),", ",Constants!$W$6,TEXT($H81,"dd/mm/yyyy")),IF(($I81/12)=5,_xlfn.CONCAT(Constants!$N$5,TEXT(DATE(YEAR(H81)-(($I81/12)-1),MONTH(H81),DAY(H81)),"dd/mm/yyyy"),", ",Constants!$O$5,TEXT(DATE(YEAR(H81)-(($I81/12)-2),MONTH(H81),DAY(H81)),"dd/mm/yyyy"),", ",Constants!$P$5,TEXT(DATE(YEAR(H81)-(($I81/12)-3),MONTH(H81),DAY(H81)),"dd/mm/yyyy"),", ",Constants!$Q$5,TEXT(DATE(YEAR(H81)-(($I81/12)-4),MONTH(H81),DAY(H81)),"dd/mm/yyyy"),", ",Constants!$R$5,TEXT($H81,"dd/mm/yyyy")),IF(($I81/12)=3,_xlfn.CONCAT(Constants!$N$4,TEXT(DATE(YEAR(H81)-(($I81/12)-1),MONTH(H81),DAY(H81)),"dd/mm/yyyy"),", ",Constants!$O$4,TEXT(DATE(YEAR(H81)-(($I81/12)-2),MONTH(H81),DAY(H81)),"dd/mm/yyyy"),", ",Constants!$P$4,TEXT($H81,"dd/mm/yyyy")),IF(($I81/12)=2,_xlfn.CONCAT(Constants!$N$3,TEXT(DATE(YEAR(H81)-(($I81/12)-1),MONTH(H81),DAY(H81)),"dd/mm/yyyy"),", ",Constants!$O$3,TEXT($H81,"dd/mm/yyyy")),IF(($I81/12)=1,_xlfn.CONCAT(Constants!$N$2,TEXT($H81,"dd/mm/yyyy")),"Update Constants"))))))),"")</f>
        <v>5% to 31/01/2026, 5% to 31/01/2027, 4% to 31/01/2028, 3% to 31/01/2029, 2% to 31/01/2030</v>
      </c>
      <c r="BC81" s="147">
        <f>_xlfn.IFNA(VALUE(INDEX(Producer!$K:$K,MATCH($D81,Producer!$A:$A,0))),"")</f>
        <v>0</v>
      </c>
      <c r="BD81" s="147" t="str">
        <f>_xlfn.IFNA(INDEX(Producer!$I:$I,MATCH($D81,Producer!$A:$A,0)),"")</f>
        <v>No</v>
      </c>
      <c r="BE81" s="147" t="str">
        <f t="shared" si="36"/>
        <v>Yes</v>
      </c>
      <c r="BF81" s="147"/>
      <c r="BG81" s="147"/>
      <c r="BH81" s="151">
        <f>_xlfn.IFNA(INDEX(Constants!$B:$B,MATCH(BC81,Constants!A:A,0)),"")</f>
        <v>0</v>
      </c>
      <c r="BI81" s="147">
        <f>IF(LEFT(B81,15)="Limited Company",Constants!$D$16,IFERROR(_xlfn.IFNA(IF(C81="Residential",IF(BK81&lt;75,INDEX(Constants!$B:$B,MATCH(VALUE(60)/100,Constants!$A:$A,0)),INDEX(Constants!$B:$B,MATCH(VALUE(BK81)/100,Constants!$A:$A,0))),IF(BK81&lt;60,INDEX(Constants!$C:$C,MATCH(VALUE(60)/100,Constants!$A:$A,0)),INDEX(Constants!$C:$C,MATCH(VALUE(BK81)/100,Constants!$A:$A,0)))),""),""))</f>
        <v>1000000</v>
      </c>
      <c r="BJ81" s="147">
        <f t="shared" si="37"/>
        <v>0</v>
      </c>
      <c r="BK81" s="147">
        <f>_xlfn.IFNA(VALUE(INDEX(Producer!$E:$E,MATCH($D81,Producer!$A:$A,0)))*100,"")</f>
        <v>75</v>
      </c>
      <c r="BL81" s="146" t="str">
        <f>_xlfn.IFNA(IF(IFERROR(FIND("Part &amp; Part",B81),-10)&gt;0,"PP",IF(OR(LEFT(B81,25)="Residential Interest Only",INDEX(Producer!$P:$P,MATCH($D81,Producer!$A:$A,0))="IO",INDEX(Producer!$P:$P,MATCH($D81,Producer!$A:$A,0))="Retirement Interest Only"),"IO",IF($C81="BuyToLet","CI, IO","CI"))),"")</f>
        <v>CI, IO</v>
      </c>
      <c r="BM81" s="152">
        <f>_xlfn.IFNA(IF(BL81="IO",100%,IF(AND(INDEX(Producer!$P:$P,MATCH($D81,Producer!$A:$A,0))="Residential Interest Only Part &amp; Part",BK81=75),80%,IF(C81="BuyToLet",100%,IF(BL81="Interest Only",100%,IF(AND(INDEX(Producer!$P:$P,MATCH($D81,Producer!$A:$A,0))="Residential Interest Only Part &amp; Part",BK81=60),100%,""))))),"")</f>
        <v>1</v>
      </c>
      <c r="BN81" s="218">
        <f>_xlfn.IFNA(IF(VALUE(INDEX(Producer!$H:$H,MATCH($D81,Producer!$A:$A,0)))=0,"",VALUE(INDEX(Producer!$H:$H,MATCH($D81,Producer!$A:$A,0)))),"")</f>
        <v>999</v>
      </c>
      <c r="BO81" s="153"/>
      <c r="BP81" s="153"/>
      <c r="BQ81" s="219">
        <f t="shared" si="38"/>
        <v>35</v>
      </c>
      <c r="BR81" s="146"/>
      <c r="BS81" s="146"/>
      <c r="BT81" s="146"/>
      <c r="BU81" s="146"/>
      <c r="BV81" s="219">
        <f t="shared" si="39"/>
        <v>199</v>
      </c>
      <c r="BW81" s="146"/>
      <c r="BX81" s="146"/>
      <c r="BY81" s="146" t="str">
        <f t="shared" si="40"/>
        <v>No</v>
      </c>
      <c r="BZ81" s="146" t="str">
        <f t="shared" si="41"/>
        <v>No</v>
      </c>
      <c r="CA81" s="146" t="str">
        <f t="shared" si="42"/>
        <v>No</v>
      </c>
      <c r="CB81" s="146" t="str">
        <f t="shared" si="43"/>
        <v>No</v>
      </c>
      <c r="CC81" s="146" t="str">
        <f>_xlfn.IFNA(IF(INDEX(Producer!$P:$P,MATCH($D81,Producer!$A:$A,0))="Help to Buy","Only available","No"),"")</f>
        <v>No</v>
      </c>
      <c r="CD81" s="146" t="str">
        <f>_xlfn.IFNA(IF(INDEX(Producer!$P:$P,MATCH($D81,Producer!$A:$A,0))="Shared Ownership","Only available","No"),"")</f>
        <v>No</v>
      </c>
      <c r="CE81" s="146" t="str">
        <f>_xlfn.IFNA(IF(INDEX(Producer!$P:$P,MATCH($D81,Producer!$A:$A,0))="Right to Buy","Only available","No"),"")</f>
        <v>No</v>
      </c>
      <c r="CF81" s="146" t="str">
        <f t="shared" si="44"/>
        <v>No</v>
      </c>
      <c r="CG81" s="146" t="str">
        <f>_xlfn.IFNA(IF(INDEX(Producer!$P:$P,MATCH($D81,Producer!$A:$A,0))="Retirement Interest Only","Only available","No"),"")</f>
        <v>No</v>
      </c>
      <c r="CH81" s="146" t="str">
        <f t="shared" si="45"/>
        <v>No</v>
      </c>
      <c r="CI81" s="146" t="str">
        <f>_xlfn.IFNA(IF(INDEX(Producer!$P:$P,MATCH($D81,Producer!$A:$A,0))="Intermediary Holiday Let","Only available","No"),"")</f>
        <v>No</v>
      </c>
      <c r="CJ81" s="146" t="str">
        <f t="shared" si="46"/>
        <v>No</v>
      </c>
      <c r="CK81" s="146" t="str">
        <f>_xlfn.IFNA(IF(OR(INDEX(Producer!$P:$P,MATCH($D81,Producer!$A:$A,0))="Intermediary Small HMO",INDEX(Producer!$P:$P,MATCH($D81,Producer!$A:$A,0))="Intermediary Large HMO"),"Only available","No"),"")</f>
        <v>Only available</v>
      </c>
      <c r="CL81" s="146" t="str">
        <f t="shared" si="47"/>
        <v>Also available</v>
      </c>
      <c r="CM81" s="146" t="str">
        <f t="shared" si="48"/>
        <v>Also available</v>
      </c>
      <c r="CN81" s="146" t="str">
        <f t="shared" si="49"/>
        <v>No</v>
      </c>
      <c r="CO81" s="146" t="str">
        <f t="shared" si="50"/>
        <v>Also available</v>
      </c>
      <c r="CP81" s="146" t="str">
        <f t="shared" si="51"/>
        <v>No</v>
      </c>
      <c r="CQ81" s="146" t="str">
        <f t="shared" si="52"/>
        <v>No</v>
      </c>
      <c r="CR81" s="146" t="str">
        <f t="shared" si="53"/>
        <v>Also available</v>
      </c>
      <c r="CS81" s="146" t="str">
        <f t="shared" si="54"/>
        <v>Only available</v>
      </c>
      <c r="CT81" s="146" t="str">
        <f t="shared" si="55"/>
        <v>No</v>
      </c>
      <c r="CU81" s="146"/>
    </row>
    <row r="82" spans="1:99" ht="16.399999999999999" customHeight="1" x14ac:dyDescent="0.35">
      <c r="A82" s="145" t="str">
        <f t="shared" si="28"/>
        <v>Leeds Building Society</v>
      </c>
      <c r="B82" s="145" t="str">
        <f>_xlfn.IFNA(_xlfn.CONCAT(INDEX(Producer!$P:$P,MATCH($D82,Producer!$A:$A,0))," ",IF(INDEX(Producer!$N:$N,MATCH($D82,Producer!$A:$A,0))="Yes","Green ",""),IF(AND(INDEX(Producer!$L:$L,MATCH($D82,Producer!$A:$A,0))="No",INDEX(Producer!$C:$C,MATCH($D82,Producer!$A:$A,0))="Fixed"),"Flexit ",""),INDEX(Producer!$B:$B,MATCH($D82,Producer!$A:$A,0))," Year ",INDEX(Producer!$C:$C,MATCH($D82,Producer!$A:$A,0))," ",VALUE(INDEX(Producer!$E:$E,MATCH($D82,Producer!$A:$A,0)))*100,"% LTV",IF(INDEX(Producer!$N:$N,MATCH($D82,Producer!$A:$A,0))="Yes"," (EPC A-C)","")," - ",IF(INDEX(Producer!$D:$D,MATCH($D82,Producer!$A:$A,0))="DLY","Daily","Annual")),"")</f>
        <v>Intermediary Large HMO 5 Year Fixed 75% LTV - Daily</v>
      </c>
      <c r="C82" s="146" t="str">
        <f>_xlfn.IFNA(INDEX(Producer!$Q:$Q,MATCH($D82,Producer!$A:$A,0)),"")</f>
        <v>BuyToLet</v>
      </c>
      <c r="D82" s="146">
        <f>IFERROR(VALUE(MID(Producer!$R$2,IF($D81="",1/0,FIND(_xlfn.CONCAT($D80,$D81),Producer!$R$2)+10),5)),"")</f>
        <v>54323</v>
      </c>
      <c r="E82" s="146" t="str">
        <f t="shared" si="29"/>
        <v>Fixed</v>
      </c>
      <c r="F82" s="146"/>
      <c r="G82" s="147">
        <f>_xlfn.IFNA(VALUE(INDEX(Producer!$F:$F,MATCH($D82,Producer!$A:$A,0)))*100,"")</f>
        <v>6.54</v>
      </c>
      <c r="H82" s="216">
        <f>_xlfn.IFNA(IFERROR(DATEVALUE(INDEX(Producer!$M:$M,MATCH($D82,Producer!$A:$A,0))),(INDEX(Producer!$M:$M,MATCH($D82,Producer!$A:$A,0)))),"")</f>
        <v>47514</v>
      </c>
      <c r="I82" s="217">
        <f>_xlfn.IFNA(VALUE(INDEX(Producer!$B:$B,MATCH($D82,Producer!$A:$A,0)))*12,"")</f>
        <v>60</v>
      </c>
      <c r="J82" s="146" t="str">
        <f>_xlfn.IFNA(IF(C82="Residential",IF(VALUE(INDEX(Producer!$B:$B,MATCH($D82,Producer!$A:$A,0)))&lt;5,Constants!$C$10,""),IF(VALUE(INDEX(Producer!$B:$B,MATCH($D82,Producer!$A:$A,0)))&lt;5,Constants!$C$11,"")),"")</f>
        <v/>
      </c>
      <c r="K82" s="216" t="str">
        <f>_xlfn.IFNA(IF(($I82)&lt;60,DATE(YEAR(H82)+(5-VALUE(INDEX(Producer!$B:$B,MATCH($D82,Producer!$A:$A,0)))),MONTH(H82),DAY(H82)),""),"")</f>
        <v/>
      </c>
      <c r="L82" s="153" t="str">
        <f t="shared" si="30"/>
        <v/>
      </c>
      <c r="M82" s="146"/>
      <c r="N82" s="148"/>
      <c r="O82" s="148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>
        <f>IF(D82="","",IF(C82="Residential",Constants!$B$10,Constants!$B$11))</f>
        <v>8.5399999999999991</v>
      </c>
      <c r="AL82" s="146" t="str">
        <f t="shared" si="31"/>
        <v>BVR</v>
      </c>
      <c r="AM82" s="206" t="str">
        <f t="shared" si="32"/>
        <v/>
      </c>
      <c r="AN82" s="146">
        <f t="shared" si="33"/>
        <v>10</v>
      </c>
      <c r="AO82" s="149" t="str">
        <f t="shared" si="34"/>
        <v>Remortgage</v>
      </c>
      <c r="AP82" s="150" t="str">
        <f t="shared" si="35"/>
        <v>ProductTransfer</v>
      </c>
      <c r="AQ82" s="146">
        <f>IFERROR(_xlfn.IFNA(IF($BA82="No",0,IF(INDEX(Constants!B:B,MATCH(($I82/12),Constants!$A:$A,0))=0,0,INDEX(Constants!B:B,MATCH(($I82/12),Constants!$A:$A,0)))),0),"")</f>
        <v>5</v>
      </c>
      <c r="AR82" s="146">
        <f>IFERROR(_xlfn.IFNA(IF($BA82="No",0,IF(INDEX(Constants!C:C,MATCH(($I82/12),Constants!$A:$A,0))=0,0,INDEX(Constants!C:C,MATCH(($I82/12),Constants!$A:$A,0)))),0),"")</f>
        <v>5</v>
      </c>
      <c r="AS82" s="146">
        <f>IFERROR(_xlfn.IFNA(IF($BA82="No",0,IF(INDEX(Constants!D:D,MATCH(($I82/12),Constants!$A:$A,0))=0,0,INDEX(Constants!D:D,MATCH(($I82/12),Constants!$A:$A,0)))),0),"")</f>
        <v>4</v>
      </c>
      <c r="AT82" s="146">
        <f>IFERROR(_xlfn.IFNA(IF($BA82="No",0,IF(INDEX(Constants!E:E,MATCH(($I82/12),Constants!$A:$A,0))=0,0,INDEX(Constants!E:E,MATCH(($I82/12),Constants!$A:$A,0)))),0),"")</f>
        <v>3</v>
      </c>
      <c r="AU82" s="146">
        <f>IFERROR(_xlfn.IFNA(IF($BA82="No",0,IF(INDEX(Constants!F:F,MATCH(($I82/12),Constants!$A:$A,0))=0,0,INDEX(Constants!F:F,MATCH(($I82/12),Constants!$A:$A,0)))),0),"")</f>
        <v>2</v>
      </c>
      <c r="AV82" s="146">
        <f>IFERROR(_xlfn.IFNA(IF($BA82="No",0,IF(INDEX(Constants!G:G,MATCH(($I82/12),Constants!$A:$A,0))=0,0,INDEX(Constants!G:G,MATCH(($I82/12),Constants!$A:$A,0)))),0),"")</f>
        <v>0</v>
      </c>
      <c r="AW82" s="146">
        <f>IFERROR(_xlfn.IFNA(IF($BA82="No",0,IF(INDEX(Constants!H:H,MATCH(($I82/12),Constants!$A:$A,0))=0,0,INDEX(Constants!H:H,MATCH(($I82/12),Constants!$A:$A,0)))),0),"")</f>
        <v>0</v>
      </c>
      <c r="AX82" s="146">
        <f>IFERROR(_xlfn.IFNA(IF($BA82="No",0,IF(INDEX(Constants!I:I,MATCH(($I82/12),Constants!$A:$A,0))=0,0,INDEX(Constants!I:I,MATCH(($I82/12),Constants!$A:$A,0)))),0),"")</f>
        <v>0</v>
      </c>
      <c r="AY82" s="146">
        <f>IFERROR(_xlfn.IFNA(IF($BA82="No",0,IF(INDEX(Constants!J:J,MATCH(($I82/12),Constants!$A:$A,0))=0,0,INDEX(Constants!J:J,MATCH(($I82/12),Constants!$A:$A,0)))),0),"")</f>
        <v>0</v>
      </c>
      <c r="AZ82" s="146">
        <f>IFERROR(_xlfn.IFNA(IF($BA82="No",0,IF(INDEX(Constants!K:K,MATCH(($I82/12),Constants!$A:$A,0))=0,0,INDEX(Constants!K:K,MATCH(($I82/12),Constants!$A:$A,0)))),0),"")</f>
        <v>0</v>
      </c>
      <c r="BA82" s="147" t="str">
        <f>_xlfn.IFNA(INDEX(Producer!$L:$L,MATCH($D82,Producer!$A:$A,0)),"")</f>
        <v>Yes</v>
      </c>
      <c r="BB82" s="146" t="str">
        <f>IFERROR(IF(AQ82=0,"",IF(($I82/12)=15,_xlfn.CONCAT(Constants!$N$7,TEXT(DATE(YEAR(H82)-(($I82/12)-3),MONTH(H82),DAY(H82)),"dd/mm/yyyy"),", ",Constants!$P$7,TEXT(DATE(YEAR(H82)-(($I82/12)-8),MONTH(H82),DAY(H82)),"dd/mm/yyyy"),", ",Constants!$T$7,TEXT(DATE(YEAR(H82)-(($I82/12)-11),MONTH(H82),DAY(H82)),"dd/mm/yyyy"),", ",Constants!$V$7,TEXT(DATE(YEAR(H82)-(($I82/12)-13),MONTH(H82),DAY(H82)),"dd/mm/yyyy"),", ",Constants!$W$7,TEXT($H82,"dd/mm/yyyy")),IF(($I82/12)=10,_xlfn.CONCAT(Constants!$N$6,TEXT(DATE(YEAR(H82)-(($I82/12)-2),MONTH(H82),DAY(H82)),"dd/mm/yyyy"),", ",Constants!$P$6,TEXT(DATE(YEAR(H82)-(($I82/12)-6),MONTH(H82),DAY(H82)),"dd/mm/yyyy"),", ",Constants!$T$6,TEXT(DATE(YEAR(H82)-(($I82/12)-8),MONTH(H82),DAY(H82)),"dd/mm/yyyy"),", ",Constants!$V$6,TEXT(DATE(YEAR(H82)-(($I82/12)-9),MONTH(H82),DAY(H82)),"dd/mm/yyyy"),", ",Constants!$W$6,TEXT($H82,"dd/mm/yyyy")),IF(($I82/12)=5,_xlfn.CONCAT(Constants!$N$5,TEXT(DATE(YEAR(H82)-(($I82/12)-1),MONTH(H82),DAY(H82)),"dd/mm/yyyy"),", ",Constants!$O$5,TEXT(DATE(YEAR(H82)-(($I82/12)-2),MONTH(H82),DAY(H82)),"dd/mm/yyyy"),", ",Constants!$P$5,TEXT(DATE(YEAR(H82)-(($I82/12)-3),MONTH(H82),DAY(H82)),"dd/mm/yyyy"),", ",Constants!$Q$5,TEXT(DATE(YEAR(H82)-(($I82/12)-4),MONTH(H82),DAY(H82)),"dd/mm/yyyy"),", ",Constants!$R$5,TEXT($H82,"dd/mm/yyyy")),IF(($I82/12)=3,_xlfn.CONCAT(Constants!$N$4,TEXT(DATE(YEAR(H82)-(($I82/12)-1),MONTH(H82),DAY(H82)),"dd/mm/yyyy"),", ",Constants!$O$4,TEXT(DATE(YEAR(H82)-(($I82/12)-2),MONTH(H82),DAY(H82)),"dd/mm/yyyy"),", ",Constants!$P$4,TEXT($H82,"dd/mm/yyyy")),IF(($I82/12)=2,_xlfn.CONCAT(Constants!$N$3,TEXT(DATE(YEAR(H82)-(($I82/12)-1),MONTH(H82),DAY(H82)),"dd/mm/yyyy"),", ",Constants!$O$3,TEXT($H82,"dd/mm/yyyy")),IF(($I82/12)=1,_xlfn.CONCAT(Constants!$N$2,TEXT($H82,"dd/mm/yyyy")),"Update Constants"))))))),"")</f>
        <v>5% to 31/01/2026, 5% to 31/01/2027, 4% to 31/01/2028, 3% to 31/01/2029, 2% to 31/01/2030</v>
      </c>
      <c r="BC82" s="147">
        <f>_xlfn.IFNA(VALUE(INDEX(Producer!$K:$K,MATCH($D82,Producer!$A:$A,0))),"")</f>
        <v>0</v>
      </c>
      <c r="BD82" s="147" t="str">
        <f>_xlfn.IFNA(INDEX(Producer!$I:$I,MATCH($D82,Producer!$A:$A,0)),"")</f>
        <v>No</v>
      </c>
      <c r="BE82" s="147" t="str">
        <f t="shared" si="36"/>
        <v>Yes</v>
      </c>
      <c r="BF82" s="147"/>
      <c r="BG82" s="147"/>
      <c r="BH82" s="151">
        <f>_xlfn.IFNA(INDEX(Constants!$B:$B,MATCH(BC82,Constants!A:A,0)),"")</f>
        <v>0</v>
      </c>
      <c r="BI82" s="147">
        <f>IF(LEFT(B82,15)="Limited Company",Constants!$D$16,IFERROR(_xlfn.IFNA(IF(C82="Residential",IF(BK82&lt;75,INDEX(Constants!$B:$B,MATCH(VALUE(60)/100,Constants!$A:$A,0)),INDEX(Constants!$B:$B,MATCH(VALUE(BK82)/100,Constants!$A:$A,0))),IF(BK82&lt;60,INDEX(Constants!$C:$C,MATCH(VALUE(60)/100,Constants!$A:$A,0)),INDEX(Constants!$C:$C,MATCH(VALUE(BK82)/100,Constants!$A:$A,0)))),""),""))</f>
        <v>1000000</v>
      </c>
      <c r="BJ82" s="147">
        <f t="shared" si="37"/>
        <v>0</v>
      </c>
      <c r="BK82" s="147">
        <f>_xlfn.IFNA(VALUE(INDEX(Producer!$E:$E,MATCH($D82,Producer!$A:$A,0)))*100,"")</f>
        <v>75</v>
      </c>
      <c r="BL82" s="146" t="str">
        <f>_xlfn.IFNA(IF(IFERROR(FIND("Part &amp; Part",B82),-10)&gt;0,"PP",IF(OR(LEFT(B82,25)="Residential Interest Only",INDEX(Producer!$P:$P,MATCH($D82,Producer!$A:$A,0))="IO",INDEX(Producer!$P:$P,MATCH($D82,Producer!$A:$A,0))="Retirement Interest Only"),"IO",IF($C82="BuyToLet","CI, IO","CI"))),"")</f>
        <v>CI, IO</v>
      </c>
      <c r="BM82" s="152">
        <f>_xlfn.IFNA(IF(BL82="IO",100%,IF(AND(INDEX(Producer!$P:$P,MATCH($D82,Producer!$A:$A,0))="Residential Interest Only Part &amp; Part",BK82=75),80%,IF(C82="BuyToLet",100%,IF(BL82="Interest Only",100%,IF(AND(INDEX(Producer!$P:$P,MATCH($D82,Producer!$A:$A,0))="Residential Interest Only Part &amp; Part",BK82=60),100%,""))))),"")</f>
        <v>1</v>
      </c>
      <c r="BN82" s="218" t="str">
        <f>_xlfn.IFNA(IF(VALUE(INDEX(Producer!$H:$H,MATCH($D82,Producer!$A:$A,0)))=0,"",VALUE(INDEX(Producer!$H:$H,MATCH($D82,Producer!$A:$A,0)))),"")</f>
        <v/>
      </c>
      <c r="BO82" s="153"/>
      <c r="BP82" s="153"/>
      <c r="BQ82" s="219">
        <f t="shared" si="38"/>
        <v>35</v>
      </c>
      <c r="BR82" s="146"/>
      <c r="BS82" s="146"/>
      <c r="BT82" s="146"/>
      <c r="BU82" s="146"/>
      <c r="BV82" s="219">
        <f t="shared" si="39"/>
        <v>199</v>
      </c>
      <c r="BW82" s="146"/>
      <c r="BX82" s="146"/>
      <c r="BY82" s="146" t="str">
        <f t="shared" si="40"/>
        <v>No</v>
      </c>
      <c r="BZ82" s="146" t="str">
        <f t="shared" si="41"/>
        <v>No</v>
      </c>
      <c r="CA82" s="146" t="str">
        <f t="shared" si="42"/>
        <v>No</v>
      </c>
      <c r="CB82" s="146" t="str">
        <f t="shared" si="43"/>
        <v>No</v>
      </c>
      <c r="CC82" s="146" t="str">
        <f>_xlfn.IFNA(IF(INDEX(Producer!$P:$P,MATCH($D82,Producer!$A:$A,0))="Help to Buy","Only available","No"),"")</f>
        <v>No</v>
      </c>
      <c r="CD82" s="146" t="str">
        <f>_xlfn.IFNA(IF(INDEX(Producer!$P:$P,MATCH($D82,Producer!$A:$A,0))="Shared Ownership","Only available","No"),"")</f>
        <v>No</v>
      </c>
      <c r="CE82" s="146" t="str">
        <f>_xlfn.IFNA(IF(INDEX(Producer!$P:$P,MATCH($D82,Producer!$A:$A,0))="Right to Buy","Only available","No"),"")</f>
        <v>No</v>
      </c>
      <c r="CF82" s="146" t="str">
        <f t="shared" si="44"/>
        <v>No</v>
      </c>
      <c r="CG82" s="146" t="str">
        <f>_xlfn.IFNA(IF(INDEX(Producer!$P:$P,MATCH($D82,Producer!$A:$A,0))="Retirement Interest Only","Only available","No"),"")</f>
        <v>No</v>
      </c>
      <c r="CH82" s="146" t="str">
        <f t="shared" si="45"/>
        <v>No</v>
      </c>
      <c r="CI82" s="146" t="str">
        <f>_xlfn.IFNA(IF(INDEX(Producer!$P:$P,MATCH($D82,Producer!$A:$A,0))="Intermediary Holiday Let","Only available","No"),"")</f>
        <v>No</v>
      </c>
      <c r="CJ82" s="146" t="str">
        <f t="shared" si="46"/>
        <v>No</v>
      </c>
      <c r="CK82" s="146" t="str">
        <f>_xlfn.IFNA(IF(OR(INDEX(Producer!$P:$P,MATCH($D82,Producer!$A:$A,0))="Intermediary Small HMO",INDEX(Producer!$P:$P,MATCH($D82,Producer!$A:$A,0))="Intermediary Large HMO"),"Only available","No"),"")</f>
        <v>Only available</v>
      </c>
      <c r="CL82" s="146" t="str">
        <f t="shared" si="47"/>
        <v>Also available</v>
      </c>
      <c r="CM82" s="146" t="str">
        <f t="shared" si="48"/>
        <v>Also available</v>
      </c>
      <c r="CN82" s="146" t="str">
        <f t="shared" si="49"/>
        <v>No</v>
      </c>
      <c r="CO82" s="146" t="str">
        <f t="shared" si="50"/>
        <v>Also available</v>
      </c>
      <c r="CP82" s="146" t="str">
        <f t="shared" si="51"/>
        <v>No</v>
      </c>
      <c r="CQ82" s="146" t="str">
        <f t="shared" si="52"/>
        <v>No</v>
      </c>
      <c r="CR82" s="146" t="str">
        <f t="shared" si="53"/>
        <v>Also available</v>
      </c>
      <c r="CS82" s="146" t="str">
        <f t="shared" si="54"/>
        <v>Only available</v>
      </c>
      <c r="CT82" s="146" t="str">
        <f t="shared" si="55"/>
        <v>No</v>
      </c>
      <c r="CU82" s="146"/>
    </row>
    <row r="83" spans="1:99" ht="16.399999999999999" customHeight="1" x14ac:dyDescent="0.35">
      <c r="A83" s="145" t="str">
        <f t="shared" si="28"/>
        <v/>
      </c>
      <c r="B83" s="145" t="str">
        <f>_xlfn.IFNA(_xlfn.CONCAT(INDEX(Producer!$P:$P,MATCH($D83,Producer!$A:$A,0))," ",IF(INDEX(Producer!$N:$N,MATCH($D83,Producer!$A:$A,0))="Yes","Green ",""),IF(AND(INDEX(Producer!$L:$L,MATCH($D83,Producer!$A:$A,0))="No",INDEX(Producer!$C:$C,MATCH($D83,Producer!$A:$A,0))="Fixed"),"Flexit ",""),INDEX(Producer!$B:$B,MATCH($D83,Producer!$A:$A,0))," Year ",INDEX(Producer!$C:$C,MATCH($D83,Producer!$A:$A,0))," ",VALUE(INDEX(Producer!$E:$E,MATCH($D83,Producer!$A:$A,0)))*100,"% LTV",IF(INDEX(Producer!$N:$N,MATCH($D83,Producer!$A:$A,0))="Yes"," (EPC A-C)","")," - ",IF(INDEX(Producer!$D:$D,MATCH($D83,Producer!$A:$A,0))="DLY","Daily","Annual")),"")</f>
        <v/>
      </c>
      <c r="C83" s="146" t="str">
        <f>_xlfn.IFNA(INDEX(Producer!$Q:$Q,MATCH($D83,Producer!$A:$A,0)),"")</f>
        <v/>
      </c>
      <c r="D83" s="146" t="str">
        <f>IFERROR(VALUE(MID(Producer!$R$2,IF($D82="",1/0,FIND(_xlfn.CONCAT($D81,$D82),Producer!$R$2)+10),5)),"")</f>
        <v/>
      </c>
      <c r="E83" s="146" t="str">
        <f t="shared" si="29"/>
        <v/>
      </c>
      <c r="F83" s="146"/>
      <c r="G83" s="147" t="str">
        <f>_xlfn.IFNA(VALUE(INDEX(Producer!$F:$F,MATCH($D83,Producer!$A:$A,0)))*100,"")</f>
        <v/>
      </c>
      <c r="H83" s="216" t="str">
        <f>_xlfn.IFNA(IFERROR(DATEVALUE(INDEX(Producer!$M:$M,MATCH($D83,Producer!$A:$A,0))),(INDEX(Producer!$M:$M,MATCH($D83,Producer!$A:$A,0)))),"")</f>
        <v/>
      </c>
      <c r="I83" s="217" t="str">
        <f>_xlfn.IFNA(VALUE(INDEX(Producer!$B:$B,MATCH($D83,Producer!$A:$A,0)))*12,"")</f>
        <v/>
      </c>
      <c r="J83" s="146" t="str">
        <f>_xlfn.IFNA(IF(C83="Residential",IF(VALUE(INDEX(Producer!$B:$B,MATCH($D83,Producer!$A:$A,0)))&lt;5,Constants!$C$10,""),IF(VALUE(INDEX(Producer!$B:$B,MATCH($D83,Producer!$A:$A,0)))&lt;5,Constants!$C$11,"")),"")</f>
        <v/>
      </c>
      <c r="K83" s="216" t="str">
        <f>_xlfn.IFNA(IF(($I83)&lt;60,DATE(YEAR(H83)+(5-VALUE(INDEX(Producer!$B:$B,MATCH($D83,Producer!$A:$A,0)))),MONTH(H83),DAY(H83)),""),"")</f>
        <v/>
      </c>
      <c r="L83" s="153" t="str">
        <f t="shared" si="30"/>
        <v/>
      </c>
      <c r="M83" s="146"/>
      <c r="N83" s="148"/>
      <c r="O83" s="148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 t="str">
        <f>IF(D83="","",IF(C83="Residential",Constants!$B$10,Constants!$B$11))</f>
        <v/>
      </c>
      <c r="AL83" s="146" t="str">
        <f t="shared" si="31"/>
        <v/>
      </c>
      <c r="AM83" s="206" t="str">
        <f t="shared" si="32"/>
        <v/>
      </c>
      <c r="AN83" s="146" t="str">
        <f t="shared" si="33"/>
        <v/>
      </c>
      <c r="AO83" s="149" t="str">
        <f t="shared" si="34"/>
        <v/>
      </c>
      <c r="AP83" s="150" t="str">
        <f t="shared" si="35"/>
        <v/>
      </c>
      <c r="AQ83" s="146" t="str">
        <f>IFERROR(_xlfn.IFNA(IF($BA83="No",0,IF(INDEX(Constants!B:B,MATCH(($I83/12),Constants!$A:$A,0))=0,0,INDEX(Constants!B:B,MATCH(($I83/12),Constants!$A:$A,0)))),0),"")</f>
        <v/>
      </c>
      <c r="AR83" s="146" t="str">
        <f>IFERROR(_xlfn.IFNA(IF($BA83="No",0,IF(INDEX(Constants!C:C,MATCH(($I83/12),Constants!$A:$A,0))=0,0,INDEX(Constants!C:C,MATCH(($I83/12),Constants!$A:$A,0)))),0),"")</f>
        <v/>
      </c>
      <c r="AS83" s="146" t="str">
        <f>IFERROR(_xlfn.IFNA(IF($BA83="No",0,IF(INDEX(Constants!D:D,MATCH(($I83/12),Constants!$A:$A,0))=0,0,INDEX(Constants!D:D,MATCH(($I83/12),Constants!$A:$A,0)))),0),"")</f>
        <v/>
      </c>
      <c r="AT83" s="146" t="str">
        <f>IFERROR(_xlfn.IFNA(IF($BA83="No",0,IF(INDEX(Constants!E:E,MATCH(($I83/12),Constants!$A:$A,0))=0,0,INDEX(Constants!E:E,MATCH(($I83/12),Constants!$A:$A,0)))),0),"")</f>
        <v/>
      </c>
      <c r="AU83" s="146" t="str">
        <f>IFERROR(_xlfn.IFNA(IF($BA83="No",0,IF(INDEX(Constants!F:F,MATCH(($I83/12),Constants!$A:$A,0))=0,0,INDEX(Constants!F:F,MATCH(($I83/12),Constants!$A:$A,0)))),0),"")</f>
        <v/>
      </c>
      <c r="AV83" s="146" t="str">
        <f>IFERROR(_xlfn.IFNA(IF($BA83="No",0,IF(INDEX(Constants!G:G,MATCH(($I83/12),Constants!$A:$A,0))=0,0,INDEX(Constants!G:G,MATCH(($I83/12),Constants!$A:$A,0)))),0),"")</f>
        <v/>
      </c>
      <c r="AW83" s="146" t="str">
        <f>IFERROR(_xlfn.IFNA(IF($BA83="No",0,IF(INDEX(Constants!H:H,MATCH(($I83/12),Constants!$A:$A,0))=0,0,INDEX(Constants!H:H,MATCH(($I83/12),Constants!$A:$A,0)))),0),"")</f>
        <v/>
      </c>
      <c r="AX83" s="146" t="str">
        <f>IFERROR(_xlfn.IFNA(IF($BA83="No",0,IF(INDEX(Constants!I:I,MATCH(($I83/12),Constants!$A:$A,0))=0,0,INDEX(Constants!I:I,MATCH(($I83/12),Constants!$A:$A,0)))),0),"")</f>
        <v/>
      </c>
      <c r="AY83" s="146" t="str">
        <f>IFERROR(_xlfn.IFNA(IF($BA83="No",0,IF(INDEX(Constants!J:J,MATCH(($I83/12),Constants!$A:$A,0))=0,0,INDEX(Constants!J:J,MATCH(($I83/12),Constants!$A:$A,0)))),0),"")</f>
        <v/>
      </c>
      <c r="AZ83" s="146" t="str">
        <f>IFERROR(_xlfn.IFNA(IF($BA83="No",0,IF(INDEX(Constants!K:K,MATCH(($I83/12),Constants!$A:$A,0))=0,0,INDEX(Constants!K:K,MATCH(($I83/12),Constants!$A:$A,0)))),0),"")</f>
        <v/>
      </c>
      <c r="BA83" s="147" t="str">
        <f>_xlfn.IFNA(INDEX(Producer!$L:$L,MATCH($D83,Producer!$A:$A,0)),"")</f>
        <v/>
      </c>
      <c r="BB83" s="146" t="str">
        <f>IFERROR(IF(AQ83=0,"",IF(($I83/12)=15,_xlfn.CONCAT(Constants!$N$7,TEXT(DATE(YEAR(H83)-(($I83/12)-3),MONTH(H83),DAY(H83)),"dd/mm/yyyy"),", ",Constants!$P$7,TEXT(DATE(YEAR(H83)-(($I83/12)-8),MONTH(H83),DAY(H83)),"dd/mm/yyyy"),", ",Constants!$T$7,TEXT(DATE(YEAR(H83)-(($I83/12)-11),MONTH(H83),DAY(H83)),"dd/mm/yyyy"),", ",Constants!$V$7,TEXT(DATE(YEAR(H83)-(($I83/12)-13),MONTH(H83),DAY(H83)),"dd/mm/yyyy"),", ",Constants!$W$7,TEXT($H83,"dd/mm/yyyy")),IF(($I83/12)=10,_xlfn.CONCAT(Constants!$N$6,TEXT(DATE(YEAR(H83)-(($I83/12)-2),MONTH(H83),DAY(H83)),"dd/mm/yyyy"),", ",Constants!$P$6,TEXT(DATE(YEAR(H83)-(($I83/12)-6),MONTH(H83),DAY(H83)),"dd/mm/yyyy"),", ",Constants!$T$6,TEXT(DATE(YEAR(H83)-(($I83/12)-8),MONTH(H83),DAY(H83)),"dd/mm/yyyy"),", ",Constants!$V$6,TEXT(DATE(YEAR(H83)-(($I83/12)-9),MONTH(H83),DAY(H83)),"dd/mm/yyyy"),", ",Constants!$W$6,TEXT($H83,"dd/mm/yyyy")),IF(($I83/12)=5,_xlfn.CONCAT(Constants!$N$5,TEXT(DATE(YEAR(H83)-(($I83/12)-1),MONTH(H83),DAY(H83)),"dd/mm/yyyy"),", ",Constants!$O$5,TEXT(DATE(YEAR(H83)-(($I83/12)-2),MONTH(H83),DAY(H83)),"dd/mm/yyyy"),", ",Constants!$P$5,TEXT(DATE(YEAR(H83)-(($I83/12)-3),MONTH(H83),DAY(H83)),"dd/mm/yyyy"),", ",Constants!$Q$5,TEXT(DATE(YEAR(H83)-(($I83/12)-4),MONTH(H83),DAY(H83)),"dd/mm/yyyy"),", ",Constants!$R$5,TEXT($H83,"dd/mm/yyyy")),IF(($I83/12)=3,_xlfn.CONCAT(Constants!$N$4,TEXT(DATE(YEAR(H83)-(($I83/12)-1),MONTH(H83),DAY(H83)),"dd/mm/yyyy"),", ",Constants!$O$4,TEXT(DATE(YEAR(H83)-(($I83/12)-2),MONTH(H83),DAY(H83)),"dd/mm/yyyy"),", ",Constants!$P$4,TEXT($H83,"dd/mm/yyyy")),IF(($I83/12)=2,_xlfn.CONCAT(Constants!$N$3,TEXT(DATE(YEAR(H83)-(($I83/12)-1),MONTH(H83),DAY(H83)),"dd/mm/yyyy"),", ",Constants!$O$3,TEXT($H83,"dd/mm/yyyy")),IF(($I83/12)=1,_xlfn.CONCAT(Constants!$N$2,TEXT($H83,"dd/mm/yyyy")),"Update Constants"))))))),"")</f>
        <v/>
      </c>
      <c r="BC83" s="147" t="str">
        <f>_xlfn.IFNA(VALUE(INDEX(Producer!$K:$K,MATCH($D83,Producer!$A:$A,0))),"")</f>
        <v/>
      </c>
      <c r="BD83" s="147" t="str">
        <f>_xlfn.IFNA(INDEX(Producer!$I:$I,MATCH($D83,Producer!$A:$A,0)),"")</f>
        <v/>
      </c>
      <c r="BE83" s="147" t="str">
        <f t="shared" si="36"/>
        <v/>
      </c>
      <c r="BF83" s="147"/>
      <c r="BG83" s="147"/>
      <c r="BH83" s="151" t="str">
        <f>_xlfn.IFNA(INDEX(Constants!$B:$B,MATCH(BC83,Constants!A:A,0)),"")</f>
        <v/>
      </c>
      <c r="BI83" s="147" t="str">
        <f>IF(LEFT(B83,15)="Limited Company",Constants!$D$16,IFERROR(_xlfn.IFNA(IF(C83="Residential",IF(BK83&lt;75,INDEX(Constants!$B:$B,MATCH(VALUE(60)/100,Constants!$A:$A,0)),INDEX(Constants!$B:$B,MATCH(VALUE(BK83)/100,Constants!$A:$A,0))),IF(BK83&lt;60,INDEX(Constants!$C:$C,MATCH(VALUE(60)/100,Constants!$A:$A,0)),INDEX(Constants!$C:$C,MATCH(VALUE(BK83)/100,Constants!$A:$A,0)))),""),""))</f>
        <v/>
      </c>
      <c r="BJ83" s="147" t="str">
        <f t="shared" si="37"/>
        <v/>
      </c>
      <c r="BK83" s="147" t="str">
        <f>_xlfn.IFNA(VALUE(INDEX(Producer!$E:$E,MATCH($D83,Producer!$A:$A,0)))*100,"")</f>
        <v/>
      </c>
      <c r="BL83" s="146" t="str">
        <f>_xlfn.IFNA(IF(IFERROR(FIND("Part &amp; Part",B83),-10)&gt;0,"PP",IF(OR(LEFT(B83,25)="Residential Interest Only",INDEX(Producer!$P:$P,MATCH($D83,Producer!$A:$A,0))="IO",INDEX(Producer!$P:$P,MATCH($D83,Producer!$A:$A,0))="Retirement Interest Only"),"IO",IF($C83="BuyToLet","CI, IO","CI"))),"")</f>
        <v/>
      </c>
      <c r="BM83" s="152" t="str">
        <f>_xlfn.IFNA(IF(BL83="IO",100%,IF(AND(INDEX(Producer!$P:$P,MATCH($D83,Producer!$A:$A,0))="Residential Interest Only Part &amp; Part",BK83=75),80%,IF(C83="BuyToLet",100%,IF(BL83="Interest Only",100%,IF(AND(INDEX(Producer!$P:$P,MATCH($D83,Producer!$A:$A,0))="Residential Interest Only Part &amp; Part",BK83=60),100%,""))))),"")</f>
        <v/>
      </c>
      <c r="BN83" s="218" t="str">
        <f>_xlfn.IFNA(IF(VALUE(INDEX(Producer!$H:$H,MATCH($D83,Producer!$A:$A,0)))=0,"",VALUE(INDEX(Producer!$H:$H,MATCH($D83,Producer!$A:$A,0)))),"")</f>
        <v/>
      </c>
      <c r="BO83" s="153"/>
      <c r="BP83" s="153"/>
      <c r="BQ83" s="219" t="str">
        <f t="shared" si="38"/>
        <v/>
      </c>
      <c r="BR83" s="146"/>
      <c r="BS83" s="146"/>
      <c r="BT83" s="146"/>
      <c r="BU83" s="146"/>
      <c r="BV83" s="219" t="str">
        <f t="shared" si="39"/>
        <v/>
      </c>
      <c r="BW83" s="146"/>
      <c r="BX83" s="146"/>
      <c r="BY83" s="146" t="str">
        <f t="shared" si="40"/>
        <v/>
      </c>
      <c r="BZ83" s="146" t="str">
        <f t="shared" si="41"/>
        <v/>
      </c>
      <c r="CA83" s="146" t="str">
        <f t="shared" si="42"/>
        <v/>
      </c>
      <c r="CB83" s="146" t="str">
        <f t="shared" si="43"/>
        <v/>
      </c>
      <c r="CC83" s="146" t="str">
        <f>_xlfn.IFNA(IF(INDEX(Producer!$P:$P,MATCH($D83,Producer!$A:$A,0))="Help to Buy","Only available","No"),"")</f>
        <v/>
      </c>
      <c r="CD83" s="146" t="str">
        <f>_xlfn.IFNA(IF(INDEX(Producer!$P:$P,MATCH($D83,Producer!$A:$A,0))="Shared Ownership","Only available","No"),"")</f>
        <v/>
      </c>
      <c r="CE83" s="146" t="str">
        <f>_xlfn.IFNA(IF(INDEX(Producer!$P:$P,MATCH($D83,Producer!$A:$A,0))="Right to Buy","Only available","No"),"")</f>
        <v/>
      </c>
      <c r="CF83" s="146" t="str">
        <f t="shared" si="44"/>
        <v/>
      </c>
      <c r="CG83" s="146" t="str">
        <f>_xlfn.IFNA(IF(INDEX(Producer!$P:$P,MATCH($D83,Producer!$A:$A,0))="Retirement Interest Only","Only available","No"),"")</f>
        <v/>
      </c>
      <c r="CH83" s="146" t="str">
        <f t="shared" si="45"/>
        <v/>
      </c>
      <c r="CI83" s="146" t="str">
        <f>_xlfn.IFNA(IF(INDEX(Producer!$P:$P,MATCH($D83,Producer!$A:$A,0))="Intermediary Holiday Let","Only available","No"),"")</f>
        <v/>
      </c>
      <c r="CJ83" s="146" t="str">
        <f t="shared" si="46"/>
        <v/>
      </c>
      <c r="CK83" s="146" t="str">
        <f>_xlfn.IFNA(IF(OR(INDEX(Producer!$P:$P,MATCH($D83,Producer!$A:$A,0))="Intermediary Small HMO",INDEX(Producer!$P:$P,MATCH($D83,Producer!$A:$A,0))="Intermediary Large HMO"),"Only available","No"),"")</f>
        <v/>
      </c>
      <c r="CL83" s="146" t="str">
        <f t="shared" si="47"/>
        <v/>
      </c>
      <c r="CM83" s="146" t="str">
        <f t="shared" si="48"/>
        <v/>
      </c>
      <c r="CN83" s="146" t="str">
        <f t="shared" si="49"/>
        <v/>
      </c>
      <c r="CO83" s="146" t="str">
        <f t="shared" si="50"/>
        <v/>
      </c>
      <c r="CP83" s="146" t="str">
        <f t="shared" si="51"/>
        <v/>
      </c>
      <c r="CQ83" s="146" t="str">
        <f t="shared" si="52"/>
        <v/>
      </c>
      <c r="CR83" s="146" t="str">
        <f t="shared" si="53"/>
        <v/>
      </c>
      <c r="CS83" s="146" t="str">
        <f t="shared" si="54"/>
        <v/>
      </c>
      <c r="CT83" s="146" t="str">
        <f t="shared" si="55"/>
        <v/>
      </c>
      <c r="CU83" s="146"/>
    </row>
    <row r="84" spans="1:99" ht="16.399999999999999" customHeight="1" x14ac:dyDescent="0.35">
      <c r="A84" s="145" t="str">
        <f t="shared" si="28"/>
        <v/>
      </c>
      <c r="B84" s="145" t="str">
        <f>_xlfn.IFNA(_xlfn.CONCAT(INDEX(Producer!$P:$P,MATCH($D84,Producer!$A:$A,0))," ",IF(INDEX(Producer!$N:$N,MATCH($D84,Producer!$A:$A,0))="Yes","Green ",""),IF(AND(INDEX(Producer!$L:$L,MATCH($D84,Producer!$A:$A,0))="No",INDEX(Producer!$C:$C,MATCH($D84,Producer!$A:$A,0))="Fixed"),"Flexit ",""),INDEX(Producer!$B:$B,MATCH($D84,Producer!$A:$A,0))," Year ",INDEX(Producer!$C:$C,MATCH($D84,Producer!$A:$A,0))," ",VALUE(INDEX(Producer!$E:$E,MATCH($D84,Producer!$A:$A,0)))*100,"% LTV",IF(INDEX(Producer!$N:$N,MATCH($D84,Producer!$A:$A,0))="Yes"," (EPC A-C)","")," - ",IF(INDEX(Producer!$D:$D,MATCH($D84,Producer!$A:$A,0))="DLY","Daily","Annual")),"")</f>
        <v/>
      </c>
      <c r="C84" s="146" t="str">
        <f>_xlfn.IFNA(INDEX(Producer!$Q:$Q,MATCH($D84,Producer!$A:$A,0)),"")</f>
        <v/>
      </c>
      <c r="D84" s="146" t="str">
        <f>IFERROR(VALUE(MID(Producer!$R$2,IF($D83="",1/0,FIND(_xlfn.CONCAT($D82,$D83),Producer!$R$2)+10),5)),"")</f>
        <v/>
      </c>
      <c r="E84" s="146" t="str">
        <f t="shared" si="29"/>
        <v/>
      </c>
      <c r="F84" s="146"/>
      <c r="G84" s="147" t="str">
        <f>_xlfn.IFNA(VALUE(INDEX(Producer!$F:$F,MATCH($D84,Producer!$A:$A,0)))*100,"")</f>
        <v/>
      </c>
      <c r="H84" s="216" t="str">
        <f>_xlfn.IFNA(IFERROR(DATEVALUE(INDEX(Producer!$M:$M,MATCH($D84,Producer!$A:$A,0))),(INDEX(Producer!$M:$M,MATCH($D84,Producer!$A:$A,0)))),"")</f>
        <v/>
      </c>
      <c r="I84" s="217" t="str">
        <f>_xlfn.IFNA(VALUE(INDEX(Producer!$B:$B,MATCH($D84,Producer!$A:$A,0)))*12,"")</f>
        <v/>
      </c>
      <c r="J84" s="146" t="str">
        <f>_xlfn.IFNA(IF(C84="Residential",IF(VALUE(INDEX(Producer!$B:$B,MATCH($D84,Producer!$A:$A,0)))&lt;5,Constants!$C$10,""),IF(VALUE(INDEX(Producer!$B:$B,MATCH($D84,Producer!$A:$A,0)))&lt;5,Constants!$C$11,"")),"")</f>
        <v/>
      </c>
      <c r="K84" s="216" t="str">
        <f>_xlfn.IFNA(IF(($I84)&lt;60,DATE(YEAR(H84)+(5-VALUE(INDEX(Producer!$B:$B,MATCH($D84,Producer!$A:$A,0)))),MONTH(H84),DAY(H84)),""),"")</f>
        <v/>
      </c>
      <c r="L84" s="153" t="str">
        <f t="shared" si="30"/>
        <v/>
      </c>
      <c r="M84" s="146"/>
      <c r="N84" s="148"/>
      <c r="O84" s="148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 t="str">
        <f>IF(D84="","",IF(C84="Residential",Constants!$B$10,Constants!$B$11))</f>
        <v/>
      </c>
      <c r="AL84" s="146" t="str">
        <f t="shared" si="31"/>
        <v/>
      </c>
      <c r="AM84" s="206" t="str">
        <f t="shared" si="32"/>
        <v/>
      </c>
      <c r="AN84" s="146" t="str">
        <f t="shared" si="33"/>
        <v/>
      </c>
      <c r="AO84" s="149" t="str">
        <f t="shared" si="34"/>
        <v/>
      </c>
      <c r="AP84" s="150" t="str">
        <f t="shared" si="35"/>
        <v/>
      </c>
      <c r="AQ84" s="146" t="str">
        <f>IFERROR(_xlfn.IFNA(IF($BA84="No",0,IF(INDEX(Constants!B:B,MATCH(($I84/12),Constants!$A:$A,0))=0,0,INDEX(Constants!B:B,MATCH(($I84/12),Constants!$A:$A,0)))),0),"")</f>
        <v/>
      </c>
      <c r="AR84" s="146" t="str">
        <f>IFERROR(_xlfn.IFNA(IF($BA84="No",0,IF(INDEX(Constants!C:C,MATCH(($I84/12),Constants!$A:$A,0))=0,0,INDEX(Constants!C:C,MATCH(($I84/12),Constants!$A:$A,0)))),0),"")</f>
        <v/>
      </c>
      <c r="AS84" s="146" t="str">
        <f>IFERROR(_xlfn.IFNA(IF($BA84="No",0,IF(INDEX(Constants!D:D,MATCH(($I84/12),Constants!$A:$A,0))=0,0,INDEX(Constants!D:D,MATCH(($I84/12),Constants!$A:$A,0)))),0),"")</f>
        <v/>
      </c>
      <c r="AT84" s="146" t="str">
        <f>IFERROR(_xlfn.IFNA(IF($BA84="No",0,IF(INDEX(Constants!E:E,MATCH(($I84/12),Constants!$A:$A,0))=0,0,INDEX(Constants!E:E,MATCH(($I84/12),Constants!$A:$A,0)))),0),"")</f>
        <v/>
      </c>
      <c r="AU84" s="146" t="str">
        <f>IFERROR(_xlfn.IFNA(IF($BA84="No",0,IF(INDEX(Constants!F:F,MATCH(($I84/12),Constants!$A:$A,0))=0,0,INDEX(Constants!F:F,MATCH(($I84/12),Constants!$A:$A,0)))),0),"")</f>
        <v/>
      </c>
      <c r="AV84" s="146" t="str">
        <f>IFERROR(_xlfn.IFNA(IF($BA84="No",0,IF(INDEX(Constants!G:G,MATCH(($I84/12),Constants!$A:$A,0))=0,0,INDEX(Constants!G:G,MATCH(($I84/12),Constants!$A:$A,0)))),0),"")</f>
        <v/>
      </c>
      <c r="AW84" s="146" t="str">
        <f>IFERROR(_xlfn.IFNA(IF($BA84="No",0,IF(INDEX(Constants!H:H,MATCH(($I84/12),Constants!$A:$A,0))=0,0,INDEX(Constants!H:H,MATCH(($I84/12),Constants!$A:$A,0)))),0),"")</f>
        <v/>
      </c>
      <c r="AX84" s="146" t="str">
        <f>IFERROR(_xlfn.IFNA(IF($BA84="No",0,IF(INDEX(Constants!I:I,MATCH(($I84/12),Constants!$A:$A,0))=0,0,INDEX(Constants!I:I,MATCH(($I84/12),Constants!$A:$A,0)))),0),"")</f>
        <v/>
      </c>
      <c r="AY84" s="146" t="str">
        <f>IFERROR(_xlfn.IFNA(IF($BA84="No",0,IF(INDEX(Constants!J:J,MATCH(($I84/12),Constants!$A:$A,0))=0,0,INDEX(Constants!J:J,MATCH(($I84/12),Constants!$A:$A,0)))),0),"")</f>
        <v/>
      </c>
      <c r="AZ84" s="146" t="str">
        <f>IFERROR(_xlfn.IFNA(IF($BA84="No",0,IF(INDEX(Constants!K:K,MATCH(($I84/12),Constants!$A:$A,0))=0,0,INDEX(Constants!K:K,MATCH(($I84/12),Constants!$A:$A,0)))),0),"")</f>
        <v/>
      </c>
      <c r="BA84" s="147" t="str">
        <f>_xlfn.IFNA(INDEX(Producer!$L:$L,MATCH($D84,Producer!$A:$A,0)),"")</f>
        <v/>
      </c>
      <c r="BB84" s="146" t="str">
        <f>IFERROR(IF(AQ84=0,"",IF(($I84/12)=15,_xlfn.CONCAT(Constants!$N$7,TEXT(DATE(YEAR(H84)-(($I84/12)-3),MONTH(H84),DAY(H84)),"dd/mm/yyyy"),", ",Constants!$P$7,TEXT(DATE(YEAR(H84)-(($I84/12)-8),MONTH(H84),DAY(H84)),"dd/mm/yyyy"),", ",Constants!$T$7,TEXT(DATE(YEAR(H84)-(($I84/12)-11),MONTH(H84),DAY(H84)),"dd/mm/yyyy"),", ",Constants!$V$7,TEXT(DATE(YEAR(H84)-(($I84/12)-13),MONTH(H84),DAY(H84)),"dd/mm/yyyy"),", ",Constants!$W$7,TEXT($H84,"dd/mm/yyyy")),IF(($I84/12)=10,_xlfn.CONCAT(Constants!$N$6,TEXT(DATE(YEAR(H84)-(($I84/12)-2),MONTH(H84),DAY(H84)),"dd/mm/yyyy"),", ",Constants!$P$6,TEXT(DATE(YEAR(H84)-(($I84/12)-6),MONTH(H84),DAY(H84)),"dd/mm/yyyy"),", ",Constants!$T$6,TEXT(DATE(YEAR(H84)-(($I84/12)-8),MONTH(H84),DAY(H84)),"dd/mm/yyyy"),", ",Constants!$V$6,TEXT(DATE(YEAR(H84)-(($I84/12)-9),MONTH(H84),DAY(H84)),"dd/mm/yyyy"),", ",Constants!$W$6,TEXT($H84,"dd/mm/yyyy")),IF(($I84/12)=5,_xlfn.CONCAT(Constants!$N$5,TEXT(DATE(YEAR(H84)-(($I84/12)-1),MONTH(H84),DAY(H84)),"dd/mm/yyyy"),", ",Constants!$O$5,TEXT(DATE(YEAR(H84)-(($I84/12)-2),MONTH(H84),DAY(H84)),"dd/mm/yyyy"),", ",Constants!$P$5,TEXT(DATE(YEAR(H84)-(($I84/12)-3),MONTH(H84),DAY(H84)),"dd/mm/yyyy"),", ",Constants!$Q$5,TEXT(DATE(YEAR(H84)-(($I84/12)-4),MONTH(H84),DAY(H84)),"dd/mm/yyyy"),", ",Constants!$R$5,TEXT($H84,"dd/mm/yyyy")),IF(($I84/12)=3,_xlfn.CONCAT(Constants!$N$4,TEXT(DATE(YEAR(H84)-(($I84/12)-1),MONTH(H84),DAY(H84)),"dd/mm/yyyy"),", ",Constants!$O$4,TEXT(DATE(YEAR(H84)-(($I84/12)-2),MONTH(H84),DAY(H84)),"dd/mm/yyyy"),", ",Constants!$P$4,TEXT($H84,"dd/mm/yyyy")),IF(($I84/12)=2,_xlfn.CONCAT(Constants!$N$3,TEXT(DATE(YEAR(H84)-(($I84/12)-1),MONTH(H84),DAY(H84)),"dd/mm/yyyy"),", ",Constants!$O$3,TEXT($H84,"dd/mm/yyyy")),IF(($I84/12)=1,_xlfn.CONCAT(Constants!$N$2,TEXT($H84,"dd/mm/yyyy")),"Update Constants"))))))),"")</f>
        <v/>
      </c>
      <c r="BC84" s="147" t="str">
        <f>_xlfn.IFNA(VALUE(INDEX(Producer!$K:$K,MATCH($D84,Producer!$A:$A,0))),"")</f>
        <v/>
      </c>
      <c r="BD84" s="147" t="str">
        <f>_xlfn.IFNA(INDEX(Producer!$I:$I,MATCH($D84,Producer!$A:$A,0)),"")</f>
        <v/>
      </c>
      <c r="BE84" s="147" t="str">
        <f t="shared" si="36"/>
        <v/>
      </c>
      <c r="BF84" s="147"/>
      <c r="BG84" s="147"/>
      <c r="BH84" s="151" t="str">
        <f>_xlfn.IFNA(INDEX(Constants!$B:$B,MATCH(BC84,Constants!A:A,0)),"")</f>
        <v/>
      </c>
      <c r="BI84" s="147" t="str">
        <f>IF(LEFT(B84,15)="Limited Company",Constants!$D$16,IFERROR(_xlfn.IFNA(IF(C84="Residential",IF(BK84&lt;75,INDEX(Constants!$B:$B,MATCH(VALUE(60)/100,Constants!$A:$A,0)),INDEX(Constants!$B:$B,MATCH(VALUE(BK84)/100,Constants!$A:$A,0))),IF(BK84&lt;60,INDEX(Constants!$C:$C,MATCH(VALUE(60)/100,Constants!$A:$A,0)),INDEX(Constants!$C:$C,MATCH(VALUE(BK84)/100,Constants!$A:$A,0)))),""),""))</f>
        <v/>
      </c>
      <c r="BJ84" s="147" t="str">
        <f t="shared" si="37"/>
        <v/>
      </c>
      <c r="BK84" s="147" t="str">
        <f>_xlfn.IFNA(VALUE(INDEX(Producer!$E:$E,MATCH($D84,Producer!$A:$A,0)))*100,"")</f>
        <v/>
      </c>
      <c r="BL84" s="146" t="str">
        <f>_xlfn.IFNA(IF(IFERROR(FIND("Part &amp; Part",B84),-10)&gt;0,"PP",IF(OR(LEFT(B84,25)="Residential Interest Only",INDEX(Producer!$P:$P,MATCH($D84,Producer!$A:$A,0))="IO",INDEX(Producer!$P:$P,MATCH($D84,Producer!$A:$A,0))="Retirement Interest Only"),"IO",IF($C84="BuyToLet","CI, IO","CI"))),"")</f>
        <v/>
      </c>
      <c r="BM84" s="152" t="str">
        <f>_xlfn.IFNA(IF(BL84="IO",100%,IF(AND(INDEX(Producer!$P:$P,MATCH($D84,Producer!$A:$A,0))="Residential Interest Only Part &amp; Part",BK84=75),80%,IF(C84="BuyToLet",100%,IF(BL84="Interest Only",100%,IF(AND(INDEX(Producer!$P:$P,MATCH($D84,Producer!$A:$A,0))="Residential Interest Only Part &amp; Part",BK84=60),100%,""))))),"")</f>
        <v/>
      </c>
      <c r="BN84" s="218" t="str">
        <f>_xlfn.IFNA(IF(VALUE(INDEX(Producer!$H:$H,MATCH($D84,Producer!$A:$A,0)))=0,"",VALUE(INDEX(Producer!$H:$H,MATCH($D84,Producer!$A:$A,0)))),"")</f>
        <v/>
      </c>
      <c r="BO84" s="153"/>
      <c r="BP84" s="153"/>
      <c r="BQ84" s="219" t="str">
        <f t="shared" si="38"/>
        <v/>
      </c>
      <c r="BR84" s="146"/>
      <c r="BS84" s="146"/>
      <c r="BT84" s="146"/>
      <c r="BU84" s="146"/>
      <c r="BV84" s="219" t="str">
        <f t="shared" si="39"/>
        <v/>
      </c>
      <c r="BW84" s="146"/>
      <c r="BX84" s="146"/>
      <c r="BY84" s="146" t="str">
        <f t="shared" si="40"/>
        <v/>
      </c>
      <c r="BZ84" s="146" t="str">
        <f t="shared" si="41"/>
        <v/>
      </c>
      <c r="CA84" s="146" t="str">
        <f t="shared" si="42"/>
        <v/>
      </c>
      <c r="CB84" s="146" t="str">
        <f t="shared" si="43"/>
        <v/>
      </c>
      <c r="CC84" s="146" t="str">
        <f>_xlfn.IFNA(IF(INDEX(Producer!$P:$P,MATCH($D84,Producer!$A:$A,0))="Help to Buy","Only available","No"),"")</f>
        <v/>
      </c>
      <c r="CD84" s="146" t="str">
        <f>_xlfn.IFNA(IF(INDEX(Producer!$P:$P,MATCH($D84,Producer!$A:$A,0))="Shared Ownership","Only available","No"),"")</f>
        <v/>
      </c>
      <c r="CE84" s="146" t="str">
        <f>_xlfn.IFNA(IF(INDEX(Producer!$P:$P,MATCH($D84,Producer!$A:$A,0))="Right to Buy","Only available","No"),"")</f>
        <v/>
      </c>
      <c r="CF84" s="146" t="str">
        <f t="shared" si="44"/>
        <v/>
      </c>
      <c r="CG84" s="146" t="str">
        <f>_xlfn.IFNA(IF(INDEX(Producer!$P:$P,MATCH($D84,Producer!$A:$A,0))="Retirement Interest Only","Only available","No"),"")</f>
        <v/>
      </c>
      <c r="CH84" s="146" t="str">
        <f t="shared" si="45"/>
        <v/>
      </c>
      <c r="CI84" s="146" t="str">
        <f>_xlfn.IFNA(IF(INDEX(Producer!$P:$P,MATCH($D84,Producer!$A:$A,0))="Intermediary Holiday Let","Only available","No"),"")</f>
        <v/>
      </c>
      <c r="CJ84" s="146" t="str">
        <f t="shared" si="46"/>
        <v/>
      </c>
      <c r="CK84" s="146" t="str">
        <f>_xlfn.IFNA(IF(OR(INDEX(Producer!$P:$P,MATCH($D84,Producer!$A:$A,0))="Intermediary Small HMO",INDEX(Producer!$P:$P,MATCH($D84,Producer!$A:$A,0))="Intermediary Large HMO"),"Only available","No"),"")</f>
        <v/>
      </c>
      <c r="CL84" s="146" t="str">
        <f t="shared" si="47"/>
        <v/>
      </c>
      <c r="CM84" s="146" t="str">
        <f t="shared" si="48"/>
        <v/>
      </c>
      <c r="CN84" s="146" t="str">
        <f t="shared" si="49"/>
        <v/>
      </c>
      <c r="CO84" s="146" t="str">
        <f t="shared" si="50"/>
        <v/>
      </c>
      <c r="CP84" s="146" t="str">
        <f t="shared" si="51"/>
        <v/>
      </c>
      <c r="CQ84" s="146" t="str">
        <f t="shared" si="52"/>
        <v/>
      </c>
      <c r="CR84" s="146" t="str">
        <f t="shared" si="53"/>
        <v/>
      </c>
      <c r="CS84" s="146" t="str">
        <f t="shared" si="54"/>
        <v/>
      </c>
      <c r="CT84" s="146" t="str">
        <f t="shared" si="55"/>
        <v/>
      </c>
      <c r="CU84" s="146"/>
    </row>
    <row r="85" spans="1:99" ht="16.399999999999999" customHeight="1" x14ac:dyDescent="0.35">
      <c r="A85" s="145" t="str">
        <f t="shared" si="28"/>
        <v/>
      </c>
      <c r="B85" s="145" t="str">
        <f>_xlfn.IFNA(_xlfn.CONCAT(INDEX(Producer!$P:$P,MATCH($D85,Producer!$A:$A,0))," ",IF(INDEX(Producer!$N:$N,MATCH($D85,Producer!$A:$A,0))="Yes","Green ",""),IF(AND(INDEX(Producer!$L:$L,MATCH($D85,Producer!$A:$A,0))="No",INDEX(Producer!$C:$C,MATCH($D85,Producer!$A:$A,0))="Fixed"),"Flexit ",""),INDEX(Producer!$B:$B,MATCH($D85,Producer!$A:$A,0))," Year ",INDEX(Producer!$C:$C,MATCH($D85,Producer!$A:$A,0))," ",VALUE(INDEX(Producer!$E:$E,MATCH($D85,Producer!$A:$A,0)))*100,"% LTV",IF(INDEX(Producer!$N:$N,MATCH($D85,Producer!$A:$A,0))="Yes"," (EPC A-C)","")," - ",IF(INDEX(Producer!$D:$D,MATCH($D85,Producer!$A:$A,0))="DLY","Daily","Annual")),"")</f>
        <v/>
      </c>
      <c r="C85" s="146" t="str">
        <f>_xlfn.IFNA(INDEX(Producer!$Q:$Q,MATCH($D85,Producer!$A:$A,0)),"")</f>
        <v/>
      </c>
      <c r="D85" s="146" t="str">
        <f>IFERROR(VALUE(MID(Producer!$R$2,IF($D84="",1/0,FIND(_xlfn.CONCAT($D83,$D84),Producer!$R$2)+10),5)),"")</f>
        <v/>
      </c>
      <c r="E85" s="146" t="str">
        <f t="shared" si="29"/>
        <v/>
      </c>
      <c r="F85" s="146"/>
      <c r="G85" s="147" t="str">
        <f>_xlfn.IFNA(VALUE(INDEX(Producer!$F:$F,MATCH($D85,Producer!$A:$A,0)))*100,"")</f>
        <v/>
      </c>
      <c r="H85" s="216" t="str">
        <f>_xlfn.IFNA(IFERROR(DATEVALUE(INDEX(Producer!$M:$M,MATCH($D85,Producer!$A:$A,0))),(INDEX(Producer!$M:$M,MATCH($D85,Producer!$A:$A,0)))),"")</f>
        <v/>
      </c>
      <c r="I85" s="217" t="str">
        <f>_xlfn.IFNA(VALUE(INDEX(Producer!$B:$B,MATCH($D85,Producer!$A:$A,0)))*12,"")</f>
        <v/>
      </c>
      <c r="J85" s="146" t="str">
        <f>_xlfn.IFNA(IF(C85="Residential",IF(VALUE(INDEX(Producer!$B:$B,MATCH($D85,Producer!$A:$A,0)))&lt;5,Constants!$C$10,""),IF(VALUE(INDEX(Producer!$B:$B,MATCH($D85,Producer!$A:$A,0)))&lt;5,Constants!$C$11,"")),"")</f>
        <v/>
      </c>
      <c r="K85" s="216" t="str">
        <f>_xlfn.IFNA(IF(($I85)&lt;60,DATE(YEAR(H85)+(5-VALUE(INDEX(Producer!$B:$B,MATCH($D85,Producer!$A:$A,0)))),MONTH(H85),DAY(H85)),""),"")</f>
        <v/>
      </c>
      <c r="L85" s="153" t="str">
        <f t="shared" si="30"/>
        <v/>
      </c>
      <c r="M85" s="146"/>
      <c r="N85" s="148"/>
      <c r="O85" s="148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 t="str">
        <f>IF(D85="","",IF(C85="Residential",Constants!$B$10,Constants!$B$11))</f>
        <v/>
      </c>
      <c r="AL85" s="146" t="str">
        <f t="shared" si="31"/>
        <v/>
      </c>
      <c r="AM85" s="206" t="str">
        <f t="shared" si="32"/>
        <v/>
      </c>
      <c r="AN85" s="146" t="str">
        <f t="shared" si="33"/>
        <v/>
      </c>
      <c r="AO85" s="149" t="str">
        <f t="shared" si="34"/>
        <v/>
      </c>
      <c r="AP85" s="150" t="str">
        <f t="shared" si="35"/>
        <v/>
      </c>
      <c r="AQ85" s="146" t="str">
        <f>IFERROR(_xlfn.IFNA(IF($BA85="No",0,IF(INDEX(Constants!B:B,MATCH(($I85/12),Constants!$A:$A,0))=0,0,INDEX(Constants!B:B,MATCH(($I85/12),Constants!$A:$A,0)))),0),"")</f>
        <v/>
      </c>
      <c r="AR85" s="146" t="str">
        <f>IFERROR(_xlfn.IFNA(IF($BA85="No",0,IF(INDEX(Constants!C:C,MATCH(($I85/12),Constants!$A:$A,0))=0,0,INDEX(Constants!C:C,MATCH(($I85/12),Constants!$A:$A,0)))),0),"")</f>
        <v/>
      </c>
      <c r="AS85" s="146" t="str">
        <f>IFERROR(_xlfn.IFNA(IF($BA85="No",0,IF(INDEX(Constants!D:D,MATCH(($I85/12),Constants!$A:$A,0))=0,0,INDEX(Constants!D:D,MATCH(($I85/12),Constants!$A:$A,0)))),0),"")</f>
        <v/>
      </c>
      <c r="AT85" s="146" t="str">
        <f>IFERROR(_xlfn.IFNA(IF($BA85="No",0,IF(INDEX(Constants!E:E,MATCH(($I85/12),Constants!$A:$A,0))=0,0,INDEX(Constants!E:E,MATCH(($I85/12),Constants!$A:$A,0)))),0),"")</f>
        <v/>
      </c>
      <c r="AU85" s="146" t="str">
        <f>IFERROR(_xlfn.IFNA(IF($BA85="No",0,IF(INDEX(Constants!F:F,MATCH(($I85/12),Constants!$A:$A,0))=0,0,INDEX(Constants!F:F,MATCH(($I85/12),Constants!$A:$A,0)))),0),"")</f>
        <v/>
      </c>
      <c r="AV85" s="146" t="str">
        <f>IFERROR(_xlfn.IFNA(IF($BA85="No",0,IF(INDEX(Constants!G:G,MATCH(($I85/12),Constants!$A:$A,0))=0,0,INDEX(Constants!G:G,MATCH(($I85/12),Constants!$A:$A,0)))),0),"")</f>
        <v/>
      </c>
      <c r="AW85" s="146" t="str">
        <f>IFERROR(_xlfn.IFNA(IF($BA85="No",0,IF(INDEX(Constants!H:H,MATCH(($I85/12),Constants!$A:$A,0))=0,0,INDEX(Constants!H:H,MATCH(($I85/12),Constants!$A:$A,0)))),0),"")</f>
        <v/>
      </c>
      <c r="AX85" s="146" t="str">
        <f>IFERROR(_xlfn.IFNA(IF($BA85="No",0,IF(INDEX(Constants!I:I,MATCH(($I85/12),Constants!$A:$A,0))=0,0,INDEX(Constants!I:I,MATCH(($I85/12),Constants!$A:$A,0)))),0),"")</f>
        <v/>
      </c>
      <c r="AY85" s="146" t="str">
        <f>IFERROR(_xlfn.IFNA(IF($BA85="No",0,IF(INDEX(Constants!J:J,MATCH(($I85/12),Constants!$A:$A,0))=0,0,INDEX(Constants!J:J,MATCH(($I85/12),Constants!$A:$A,0)))),0),"")</f>
        <v/>
      </c>
      <c r="AZ85" s="146" t="str">
        <f>IFERROR(_xlfn.IFNA(IF($BA85="No",0,IF(INDEX(Constants!K:K,MATCH(($I85/12),Constants!$A:$A,0))=0,0,INDEX(Constants!K:K,MATCH(($I85/12),Constants!$A:$A,0)))),0),"")</f>
        <v/>
      </c>
      <c r="BA85" s="147" t="str">
        <f>_xlfn.IFNA(INDEX(Producer!$L:$L,MATCH($D85,Producer!$A:$A,0)),"")</f>
        <v/>
      </c>
      <c r="BB85" s="146" t="str">
        <f>IFERROR(IF(AQ85=0,"",IF(($I85/12)=15,_xlfn.CONCAT(Constants!$N$7,TEXT(DATE(YEAR(H85)-(($I85/12)-3),MONTH(H85),DAY(H85)),"dd/mm/yyyy"),", ",Constants!$P$7,TEXT(DATE(YEAR(H85)-(($I85/12)-8),MONTH(H85),DAY(H85)),"dd/mm/yyyy"),", ",Constants!$T$7,TEXT(DATE(YEAR(H85)-(($I85/12)-11),MONTH(H85),DAY(H85)),"dd/mm/yyyy"),", ",Constants!$V$7,TEXT(DATE(YEAR(H85)-(($I85/12)-13),MONTH(H85),DAY(H85)),"dd/mm/yyyy"),", ",Constants!$W$7,TEXT($H85,"dd/mm/yyyy")),IF(($I85/12)=10,_xlfn.CONCAT(Constants!$N$6,TEXT(DATE(YEAR(H85)-(($I85/12)-2),MONTH(H85),DAY(H85)),"dd/mm/yyyy"),", ",Constants!$P$6,TEXT(DATE(YEAR(H85)-(($I85/12)-6),MONTH(H85),DAY(H85)),"dd/mm/yyyy"),", ",Constants!$T$6,TEXT(DATE(YEAR(H85)-(($I85/12)-8),MONTH(H85),DAY(H85)),"dd/mm/yyyy"),", ",Constants!$V$6,TEXT(DATE(YEAR(H85)-(($I85/12)-9),MONTH(H85),DAY(H85)),"dd/mm/yyyy"),", ",Constants!$W$6,TEXT($H85,"dd/mm/yyyy")),IF(($I85/12)=5,_xlfn.CONCAT(Constants!$N$5,TEXT(DATE(YEAR(H85)-(($I85/12)-1),MONTH(H85),DAY(H85)),"dd/mm/yyyy"),", ",Constants!$O$5,TEXT(DATE(YEAR(H85)-(($I85/12)-2),MONTH(H85),DAY(H85)),"dd/mm/yyyy"),", ",Constants!$P$5,TEXT(DATE(YEAR(H85)-(($I85/12)-3),MONTH(H85),DAY(H85)),"dd/mm/yyyy"),", ",Constants!$Q$5,TEXT(DATE(YEAR(H85)-(($I85/12)-4),MONTH(H85),DAY(H85)),"dd/mm/yyyy"),", ",Constants!$R$5,TEXT($H85,"dd/mm/yyyy")),IF(($I85/12)=3,_xlfn.CONCAT(Constants!$N$4,TEXT(DATE(YEAR(H85)-(($I85/12)-1),MONTH(H85),DAY(H85)),"dd/mm/yyyy"),", ",Constants!$O$4,TEXT(DATE(YEAR(H85)-(($I85/12)-2),MONTH(H85),DAY(H85)),"dd/mm/yyyy"),", ",Constants!$P$4,TEXT($H85,"dd/mm/yyyy")),IF(($I85/12)=2,_xlfn.CONCAT(Constants!$N$3,TEXT(DATE(YEAR(H85)-(($I85/12)-1),MONTH(H85),DAY(H85)),"dd/mm/yyyy"),", ",Constants!$O$3,TEXT($H85,"dd/mm/yyyy")),IF(($I85/12)=1,_xlfn.CONCAT(Constants!$N$2,TEXT($H85,"dd/mm/yyyy")),"Update Constants"))))))),"")</f>
        <v/>
      </c>
      <c r="BC85" s="147" t="str">
        <f>_xlfn.IFNA(VALUE(INDEX(Producer!$K:$K,MATCH($D85,Producer!$A:$A,0))),"")</f>
        <v/>
      </c>
      <c r="BD85" s="147" t="str">
        <f>_xlfn.IFNA(INDEX(Producer!$I:$I,MATCH($D85,Producer!$A:$A,0)),"")</f>
        <v/>
      </c>
      <c r="BE85" s="147" t="str">
        <f t="shared" si="36"/>
        <v/>
      </c>
      <c r="BF85" s="147"/>
      <c r="BG85" s="147"/>
      <c r="BH85" s="151" t="str">
        <f>_xlfn.IFNA(INDEX(Constants!$B:$B,MATCH(BC85,Constants!A:A,0)),"")</f>
        <v/>
      </c>
      <c r="BI85" s="147" t="str">
        <f>IF(LEFT(B85,15)="Limited Company",Constants!$D$16,IFERROR(_xlfn.IFNA(IF(C85="Residential",IF(BK85&lt;75,INDEX(Constants!$B:$B,MATCH(VALUE(60)/100,Constants!$A:$A,0)),INDEX(Constants!$B:$B,MATCH(VALUE(BK85)/100,Constants!$A:$A,0))),IF(BK85&lt;60,INDEX(Constants!$C:$C,MATCH(VALUE(60)/100,Constants!$A:$A,0)),INDEX(Constants!$C:$C,MATCH(VALUE(BK85)/100,Constants!$A:$A,0)))),""),""))</f>
        <v/>
      </c>
      <c r="BJ85" s="147" t="str">
        <f t="shared" si="37"/>
        <v/>
      </c>
      <c r="BK85" s="147" t="str">
        <f>_xlfn.IFNA(VALUE(INDEX(Producer!$E:$E,MATCH($D85,Producer!$A:$A,0)))*100,"")</f>
        <v/>
      </c>
      <c r="BL85" s="146" t="str">
        <f>_xlfn.IFNA(IF(IFERROR(FIND("Part &amp; Part",B85),-10)&gt;0,"PP",IF(OR(LEFT(B85,25)="Residential Interest Only",INDEX(Producer!$P:$P,MATCH($D85,Producer!$A:$A,0))="IO",INDEX(Producer!$P:$P,MATCH($D85,Producer!$A:$A,0))="Retirement Interest Only"),"IO",IF($C85="BuyToLet","CI, IO","CI"))),"")</f>
        <v/>
      </c>
      <c r="BM85" s="152" t="str">
        <f>_xlfn.IFNA(IF(BL85="IO",100%,IF(AND(INDEX(Producer!$P:$P,MATCH($D85,Producer!$A:$A,0))="Residential Interest Only Part &amp; Part",BK85=75),80%,IF(C85="BuyToLet",100%,IF(BL85="Interest Only",100%,IF(AND(INDEX(Producer!$P:$P,MATCH($D85,Producer!$A:$A,0))="Residential Interest Only Part &amp; Part",BK85=60),100%,""))))),"")</f>
        <v/>
      </c>
      <c r="BN85" s="218" t="str">
        <f>_xlfn.IFNA(IF(VALUE(INDEX(Producer!$H:$H,MATCH($D85,Producer!$A:$A,0)))=0,"",VALUE(INDEX(Producer!$H:$H,MATCH($D85,Producer!$A:$A,0)))),"")</f>
        <v/>
      </c>
      <c r="BO85" s="153"/>
      <c r="BP85" s="153"/>
      <c r="BQ85" s="219" t="str">
        <f t="shared" si="38"/>
        <v/>
      </c>
      <c r="BR85" s="146"/>
      <c r="BS85" s="146"/>
      <c r="BT85" s="146"/>
      <c r="BU85" s="146"/>
      <c r="BV85" s="219" t="str">
        <f t="shared" si="39"/>
        <v/>
      </c>
      <c r="BW85" s="146"/>
      <c r="BX85" s="146"/>
      <c r="BY85" s="146" t="str">
        <f t="shared" si="40"/>
        <v/>
      </c>
      <c r="BZ85" s="146" t="str">
        <f t="shared" si="41"/>
        <v/>
      </c>
      <c r="CA85" s="146" t="str">
        <f t="shared" si="42"/>
        <v/>
      </c>
      <c r="CB85" s="146" t="str">
        <f t="shared" si="43"/>
        <v/>
      </c>
      <c r="CC85" s="146" t="str">
        <f>_xlfn.IFNA(IF(INDEX(Producer!$P:$P,MATCH($D85,Producer!$A:$A,0))="Help to Buy","Only available","No"),"")</f>
        <v/>
      </c>
      <c r="CD85" s="146" t="str">
        <f>_xlfn.IFNA(IF(INDEX(Producer!$P:$P,MATCH($D85,Producer!$A:$A,0))="Shared Ownership","Only available","No"),"")</f>
        <v/>
      </c>
      <c r="CE85" s="146" t="str">
        <f>_xlfn.IFNA(IF(INDEX(Producer!$P:$P,MATCH($D85,Producer!$A:$A,0))="Right to Buy","Only available","No"),"")</f>
        <v/>
      </c>
      <c r="CF85" s="146" t="str">
        <f t="shared" si="44"/>
        <v/>
      </c>
      <c r="CG85" s="146" t="str">
        <f>_xlfn.IFNA(IF(INDEX(Producer!$P:$P,MATCH($D85,Producer!$A:$A,0))="Retirement Interest Only","Only available","No"),"")</f>
        <v/>
      </c>
      <c r="CH85" s="146" t="str">
        <f t="shared" si="45"/>
        <v/>
      </c>
      <c r="CI85" s="146" t="str">
        <f>_xlfn.IFNA(IF(INDEX(Producer!$P:$P,MATCH($D85,Producer!$A:$A,0))="Intermediary Holiday Let","Only available","No"),"")</f>
        <v/>
      </c>
      <c r="CJ85" s="146" t="str">
        <f t="shared" si="46"/>
        <v/>
      </c>
      <c r="CK85" s="146" t="str">
        <f>_xlfn.IFNA(IF(OR(INDEX(Producer!$P:$P,MATCH($D85,Producer!$A:$A,0))="Intermediary Small HMO",INDEX(Producer!$P:$P,MATCH($D85,Producer!$A:$A,0))="Intermediary Large HMO"),"Only available","No"),"")</f>
        <v/>
      </c>
      <c r="CL85" s="146" t="str">
        <f t="shared" si="47"/>
        <v/>
      </c>
      <c r="CM85" s="146" t="str">
        <f t="shared" si="48"/>
        <v/>
      </c>
      <c r="CN85" s="146" t="str">
        <f t="shared" si="49"/>
        <v/>
      </c>
      <c r="CO85" s="146" t="str">
        <f t="shared" si="50"/>
        <v/>
      </c>
      <c r="CP85" s="146" t="str">
        <f t="shared" si="51"/>
        <v/>
      </c>
      <c r="CQ85" s="146" t="str">
        <f t="shared" si="52"/>
        <v/>
      </c>
      <c r="CR85" s="146" t="str">
        <f t="shared" si="53"/>
        <v/>
      </c>
      <c r="CS85" s="146" t="str">
        <f t="shared" si="54"/>
        <v/>
      </c>
      <c r="CT85" s="146" t="str">
        <f t="shared" si="55"/>
        <v/>
      </c>
      <c r="CU85" s="146"/>
    </row>
    <row r="86" spans="1:99" ht="16.399999999999999" customHeight="1" x14ac:dyDescent="0.35">
      <c r="A86" s="145" t="str">
        <f t="shared" si="28"/>
        <v/>
      </c>
      <c r="B86" s="145" t="str">
        <f>_xlfn.IFNA(_xlfn.CONCAT(INDEX(Producer!$P:$P,MATCH($D86,Producer!$A:$A,0))," ",IF(INDEX(Producer!$N:$N,MATCH($D86,Producer!$A:$A,0))="Yes","Green ",""),IF(AND(INDEX(Producer!$L:$L,MATCH($D86,Producer!$A:$A,0))="No",INDEX(Producer!$C:$C,MATCH($D86,Producer!$A:$A,0))="Fixed"),"Flexit ",""),INDEX(Producer!$B:$B,MATCH($D86,Producer!$A:$A,0))," Year ",INDEX(Producer!$C:$C,MATCH($D86,Producer!$A:$A,0))," ",VALUE(INDEX(Producer!$E:$E,MATCH($D86,Producer!$A:$A,0)))*100,"% LTV",IF(INDEX(Producer!$N:$N,MATCH($D86,Producer!$A:$A,0))="Yes"," (EPC A-C)","")," - ",IF(INDEX(Producer!$D:$D,MATCH($D86,Producer!$A:$A,0))="DLY","Daily","Annual")),"")</f>
        <v/>
      </c>
      <c r="C86" s="146" t="str">
        <f>_xlfn.IFNA(INDEX(Producer!$Q:$Q,MATCH($D86,Producer!$A:$A,0)),"")</f>
        <v/>
      </c>
      <c r="D86" s="146" t="str">
        <f>IFERROR(VALUE(MID(Producer!$R$2,IF($D85="",1/0,FIND(_xlfn.CONCAT($D84,$D85),Producer!$R$2)+10),5)),"")</f>
        <v/>
      </c>
      <c r="E86" s="146" t="str">
        <f t="shared" si="29"/>
        <v/>
      </c>
      <c r="F86" s="146"/>
      <c r="G86" s="147" t="str">
        <f>_xlfn.IFNA(VALUE(INDEX(Producer!$F:$F,MATCH($D86,Producer!$A:$A,0)))*100,"")</f>
        <v/>
      </c>
      <c r="H86" s="216" t="str">
        <f>_xlfn.IFNA(IFERROR(DATEVALUE(INDEX(Producer!$M:$M,MATCH($D86,Producer!$A:$A,0))),(INDEX(Producer!$M:$M,MATCH($D86,Producer!$A:$A,0)))),"")</f>
        <v/>
      </c>
      <c r="I86" s="217" t="str">
        <f>_xlfn.IFNA(VALUE(INDEX(Producer!$B:$B,MATCH($D86,Producer!$A:$A,0)))*12,"")</f>
        <v/>
      </c>
      <c r="J86" s="146" t="str">
        <f>_xlfn.IFNA(IF(C86="Residential",IF(VALUE(INDEX(Producer!$B:$B,MATCH($D86,Producer!$A:$A,0)))&lt;5,Constants!$C$10,""),IF(VALUE(INDEX(Producer!$B:$B,MATCH($D86,Producer!$A:$A,0)))&lt;5,Constants!$C$11,"")),"")</f>
        <v/>
      </c>
      <c r="K86" s="216" t="str">
        <f>_xlfn.IFNA(IF(($I86)&lt;60,DATE(YEAR(H86)+(5-VALUE(INDEX(Producer!$B:$B,MATCH($D86,Producer!$A:$A,0)))),MONTH(H86),DAY(H86)),""),"")</f>
        <v/>
      </c>
      <c r="L86" s="153" t="str">
        <f t="shared" si="30"/>
        <v/>
      </c>
      <c r="M86" s="146"/>
      <c r="N86" s="148"/>
      <c r="O86" s="148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 t="str">
        <f>IF(D86="","",IF(C86="Residential",Constants!$B$10,Constants!$B$11))</f>
        <v/>
      </c>
      <c r="AL86" s="146" t="str">
        <f t="shared" si="31"/>
        <v/>
      </c>
      <c r="AM86" s="206" t="str">
        <f t="shared" si="32"/>
        <v/>
      </c>
      <c r="AN86" s="146" t="str">
        <f t="shared" si="33"/>
        <v/>
      </c>
      <c r="AO86" s="149" t="str">
        <f t="shared" si="34"/>
        <v/>
      </c>
      <c r="AP86" s="150" t="str">
        <f t="shared" si="35"/>
        <v/>
      </c>
      <c r="AQ86" s="146" t="str">
        <f>IFERROR(_xlfn.IFNA(IF($BA86="No",0,IF(INDEX(Constants!B:B,MATCH(($I86/12),Constants!$A:$A,0))=0,0,INDEX(Constants!B:B,MATCH(($I86/12),Constants!$A:$A,0)))),0),"")</f>
        <v/>
      </c>
      <c r="AR86" s="146" t="str">
        <f>IFERROR(_xlfn.IFNA(IF($BA86="No",0,IF(INDEX(Constants!C:C,MATCH(($I86/12),Constants!$A:$A,0))=0,0,INDEX(Constants!C:C,MATCH(($I86/12),Constants!$A:$A,0)))),0),"")</f>
        <v/>
      </c>
      <c r="AS86" s="146" t="str">
        <f>IFERROR(_xlfn.IFNA(IF($BA86="No",0,IF(INDEX(Constants!D:D,MATCH(($I86/12),Constants!$A:$A,0))=0,0,INDEX(Constants!D:D,MATCH(($I86/12),Constants!$A:$A,0)))),0),"")</f>
        <v/>
      </c>
      <c r="AT86" s="146" t="str">
        <f>IFERROR(_xlfn.IFNA(IF($BA86="No",0,IF(INDEX(Constants!E:E,MATCH(($I86/12),Constants!$A:$A,0))=0,0,INDEX(Constants!E:E,MATCH(($I86/12),Constants!$A:$A,0)))),0),"")</f>
        <v/>
      </c>
      <c r="AU86" s="146" t="str">
        <f>IFERROR(_xlfn.IFNA(IF($BA86="No",0,IF(INDEX(Constants!F:F,MATCH(($I86/12),Constants!$A:$A,0))=0,0,INDEX(Constants!F:F,MATCH(($I86/12),Constants!$A:$A,0)))),0),"")</f>
        <v/>
      </c>
      <c r="AV86" s="146" t="str">
        <f>IFERROR(_xlfn.IFNA(IF($BA86="No",0,IF(INDEX(Constants!G:G,MATCH(($I86/12),Constants!$A:$A,0))=0,0,INDEX(Constants!G:G,MATCH(($I86/12),Constants!$A:$A,0)))),0),"")</f>
        <v/>
      </c>
      <c r="AW86" s="146" t="str">
        <f>IFERROR(_xlfn.IFNA(IF($BA86="No",0,IF(INDEX(Constants!H:H,MATCH(($I86/12),Constants!$A:$A,0))=0,0,INDEX(Constants!H:H,MATCH(($I86/12),Constants!$A:$A,0)))),0),"")</f>
        <v/>
      </c>
      <c r="AX86" s="146" t="str">
        <f>IFERROR(_xlfn.IFNA(IF($BA86="No",0,IF(INDEX(Constants!I:I,MATCH(($I86/12),Constants!$A:$A,0))=0,0,INDEX(Constants!I:I,MATCH(($I86/12),Constants!$A:$A,0)))),0),"")</f>
        <v/>
      </c>
      <c r="AY86" s="146" t="str">
        <f>IFERROR(_xlfn.IFNA(IF($BA86="No",0,IF(INDEX(Constants!J:J,MATCH(($I86/12),Constants!$A:$A,0))=0,0,INDEX(Constants!J:J,MATCH(($I86/12),Constants!$A:$A,0)))),0),"")</f>
        <v/>
      </c>
      <c r="AZ86" s="146" t="str">
        <f>IFERROR(_xlfn.IFNA(IF($BA86="No",0,IF(INDEX(Constants!K:K,MATCH(($I86/12),Constants!$A:$A,0))=0,0,INDEX(Constants!K:K,MATCH(($I86/12),Constants!$A:$A,0)))),0),"")</f>
        <v/>
      </c>
      <c r="BA86" s="147" t="str">
        <f>_xlfn.IFNA(INDEX(Producer!$L:$L,MATCH($D86,Producer!$A:$A,0)),"")</f>
        <v/>
      </c>
      <c r="BB86" s="146" t="str">
        <f>IFERROR(IF(AQ86=0,"",IF(($I86/12)=15,_xlfn.CONCAT(Constants!$N$7,TEXT(DATE(YEAR(H86)-(($I86/12)-3),MONTH(H86),DAY(H86)),"dd/mm/yyyy"),", ",Constants!$P$7,TEXT(DATE(YEAR(H86)-(($I86/12)-8),MONTH(H86),DAY(H86)),"dd/mm/yyyy"),", ",Constants!$T$7,TEXT(DATE(YEAR(H86)-(($I86/12)-11),MONTH(H86),DAY(H86)),"dd/mm/yyyy"),", ",Constants!$V$7,TEXT(DATE(YEAR(H86)-(($I86/12)-13),MONTH(H86),DAY(H86)),"dd/mm/yyyy"),", ",Constants!$W$7,TEXT($H86,"dd/mm/yyyy")),IF(($I86/12)=10,_xlfn.CONCAT(Constants!$N$6,TEXT(DATE(YEAR(H86)-(($I86/12)-2),MONTH(H86),DAY(H86)),"dd/mm/yyyy"),", ",Constants!$P$6,TEXT(DATE(YEAR(H86)-(($I86/12)-6),MONTH(H86),DAY(H86)),"dd/mm/yyyy"),", ",Constants!$T$6,TEXT(DATE(YEAR(H86)-(($I86/12)-8),MONTH(H86),DAY(H86)),"dd/mm/yyyy"),", ",Constants!$V$6,TEXT(DATE(YEAR(H86)-(($I86/12)-9),MONTH(H86),DAY(H86)),"dd/mm/yyyy"),", ",Constants!$W$6,TEXT($H86,"dd/mm/yyyy")),IF(($I86/12)=5,_xlfn.CONCAT(Constants!$N$5,TEXT(DATE(YEAR(H86)-(($I86/12)-1),MONTH(H86),DAY(H86)),"dd/mm/yyyy"),", ",Constants!$O$5,TEXT(DATE(YEAR(H86)-(($I86/12)-2),MONTH(H86),DAY(H86)),"dd/mm/yyyy"),", ",Constants!$P$5,TEXT(DATE(YEAR(H86)-(($I86/12)-3),MONTH(H86),DAY(H86)),"dd/mm/yyyy"),", ",Constants!$Q$5,TEXT(DATE(YEAR(H86)-(($I86/12)-4),MONTH(H86),DAY(H86)),"dd/mm/yyyy"),", ",Constants!$R$5,TEXT($H86,"dd/mm/yyyy")),IF(($I86/12)=3,_xlfn.CONCAT(Constants!$N$4,TEXT(DATE(YEAR(H86)-(($I86/12)-1),MONTH(H86),DAY(H86)),"dd/mm/yyyy"),", ",Constants!$O$4,TEXT(DATE(YEAR(H86)-(($I86/12)-2),MONTH(H86),DAY(H86)),"dd/mm/yyyy"),", ",Constants!$P$4,TEXT($H86,"dd/mm/yyyy")),IF(($I86/12)=2,_xlfn.CONCAT(Constants!$N$3,TEXT(DATE(YEAR(H86)-(($I86/12)-1),MONTH(H86),DAY(H86)),"dd/mm/yyyy"),", ",Constants!$O$3,TEXT($H86,"dd/mm/yyyy")),IF(($I86/12)=1,_xlfn.CONCAT(Constants!$N$2,TEXT($H86,"dd/mm/yyyy")),"Update Constants"))))))),"")</f>
        <v/>
      </c>
      <c r="BC86" s="147" t="str">
        <f>_xlfn.IFNA(VALUE(INDEX(Producer!$K:$K,MATCH($D86,Producer!$A:$A,0))),"")</f>
        <v/>
      </c>
      <c r="BD86" s="147" t="str">
        <f>_xlfn.IFNA(INDEX(Producer!$I:$I,MATCH($D86,Producer!$A:$A,0)),"")</f>
        <v/>
      </c>
      <c r="BE86" s="147" t="str">
        <f t="shared" si="36"/>
        <v/>
      </c>
      <c r="BF86" s="147"/>
      <c r="BG86" s="147"/>
      <c r="BH86" s="151" t="str">
        <f>_xlfn.IFNA(INDEX(Constants!$B:$B,MATCH(BC86,Constants!A:A,0)),"")</f>
        <v/>
      </c>
      <c r="BI86" s="147" t="str">
        <f>IF(LEFT(B86,15)="Limited Company",Constants!$D$16,IFERROR(_xlfn.IFNA(IF(C86="Residential",IF(BK86&lt;75,INDEX(Constants!$B:$B,MATCH(VALUE(60)/100,Constants!$A:$A,0)),INDEX(Constants!$B:$B,MATCH(VALUE(BK86)/100,Constants!$A:$A,0))),IF(BK86&lt;60,INDEX(Constants!$C:$C,MATCH(VALUE(60)/100,Constants!$A:$A,0)),INDEX(Constants!$C:$C,MATCH(VALUE(BK86)/100,Constants!$A:$A,0)))),""),""))</f>
        <v/>
      </c>
      <c r="BJ86" s="147" t="str">
        <f t="shared" si="37"/>
        <v/>
      </c>
      <c r="BK86" s="147" t="str">
        <f>_xlfn.IFNA(VALUE(INDEX(Producer!$E:$E,MATCH($D86,Producer!$A:$A,0)))*100,"")</f>
        <v/>
      </c>
      <c r="BL86" s="146" t="str">
        <f>_xlfn.IFNA(IF(IFERROR(FIND("Part &amp; Part",B86),-10)&gt;0,"PP",IF(OR(LEFT(B86,25)="Residential Interest Only",INDEX(Producer!$P:$P,MATCH($D86,Producer!$A:$A,0))="IO",INDEX(Producer!$P:$P,MATCH($D86,Producer!$A:$A,0))="Retirement Interest Only"),"IO",IF($C86="BuyToLet","CI, IO","CI"))),"")</f>
        <v/>
      </c>
      <c r="BM86" s="152" t="str">
        <f>_xlfn.IFNA(IF(BL86="IO",100%,IF(AND(INDEX(Producer!$P:$P,MATCH($D86,Producer!$A:$A,0))="Residential Interest Only Part &amp; Part",BK86=75),80%,IF(C86="BuyToLet",100%,IF(BL86="Interest Only",100%,IF(AND(INDEX(Producer!$P:$P,MATCH($D86,Producer!$A:$A,0))="Residential Interest Only Part &amp; Part",BK86=60),100%,""))))),"")</f>
        <v/>
      </c>
      <c r="BN86" s="218" t="str">
        <f>_xlfn.IFNA(IF(VALUE(INDEX(Producer!$H:$H,MATCH($D86,Producer!$A:$A,0)))=0,"",VALUE(INDEX(Producer!$H:$H,MATCH($D86,Producer!$A:$A,0)))),"")</f>
        <v/>
      </c>
      <c r="BO86" s="153"/>
      <c r="BP86" s="153"/>
      <c r="BQ86" s="219" t="str">
        <f t="shared" si="38"/>
        <v/>
      </c>
      <c r="BR86" s="146"/>
      <c r="BS86" s="146"/>
      <c r="BT86" s="146"/>
      <c r="BU86" s="146"/>
      <c r="BV86" s="219" t="str">
        <f t="shared" si="39"/>
        <v/>
      </c>
      <c r="BW86" s="146"/>
      <c r="BX86" s="146"/>
      <c r="BY86" s="146" t="str">
        <f t="shared" si="40"/>
        <v/>
      </c>
      <c r="BZ86" s="146" t="str">
        <f t="shared" si="41"/>
        <v/>
      </c>
      <c r="CA86" s="146" t="str">
        <f t="shared" si="42"/>
        <v/>
      </c>
      <c r="CB86" s="146" t="str">
        <f t="shared" si="43"/>
        <v/>
      </c>
      <c r="CC86" s="146" t="str">
        <f>_xlfn.IFNA(IF(INDEX(Producer!$P:$P,MATCH($D86,Producer!$A:$A,0))="Help to Buy","Only available","No"),"")</f>
        <v/>
      </c>
      <c r="CD86" s="146" t="str">
        <f>_xlfn.IFNA(IF(INDEX(Producer!$P:$P,MATCH($D86,Producer!$A:$A,0))="Shared Ownership","Only available","No"),"")</f>
        <v/>
      </c>
      <c r="CE86" s="146" t="str">
        <f>_xlfn.IFNA(IF(INDEX(Producer!$P:$P,MATCH($D86,Producer!$A:$A,0))="Right to Buy","Only available","No"),"")</f>
        <v/>
      </c>
      <c r="CF86" s="146" t="str">
        <f t="shared" si="44"/>
        <v/>
      </c>
      <c r="CG86" s="146" t="str">
        <f>_xlfn.IFNA(IF(INDEX(Producer!$P:$P,MATCH($D86,Producer!$A:$A,0))="Retirement Interest Only","Only available","No"),"")</f>
        <v/>
      </c>
      <c r="CH86" s="146" t="str">
        <f t="shared" si="45"/>
        <v/>
      </c>
      <c r="CI86" s="146" t="str">
        <f>_xlfn.IFNA(IF(INDEX(Producer!$P:$P,MATCH($D86,Producer!$A:$A,0))="Intermediary Holiday Let","Only available","No"),"")</f>
        <v/>
      </c>
      <c r="CJ86" s="146" t="str">
        <f t="shared" si="46"/>
        <v/>
      </c>
      <c r="CK86" s="146" t="str">
        <f>_xlfn.IFNA(IF(OR(INDEX(Producer!$P:$P,MATCH($D86,Producer!$A:$A,0))="Intermediary Small HMO",INDEX(Producer!$P:$P,MATCH($D86,Producer!$A:$A,0))="Intermediary Large HMO"),"Only available","No"),"")</f>
        <v/>
      </c>
      <c r="CL86" s="146" t="str">
        <f t="shared" si="47"/>
        <v/>
      </c>
      <c r="CM86" s="146" t="str">
        <f t="shared" si="48"/>
        <v/>
      </c>
      <c r="CN86" s="146" t="str">
        <f t="shared" si="49"/>
        <v/>
      </c>
      <c r="CO86" s="146" t="str">
        <f t="shared" si="50"/>
        <v/>
      </c>
      <c r="CP86" s="146" t="str">
        <f t="shared" si="51"/>
        <v/>
      </c>
      <c r="CQ86" s="146" t="str">
        <f t="shared" si="52"/>
        <v/>
      </c>
      <c r="CR86" s="146" t="str">
        <f t="shared" si="53"/>
        <v/>
      </c>
      <c r="CS86" s="146" t="str">
        <f t="shared" si="54"/>
        <v/>
      </c>
      <c r="CT86" s="146" t="str">
        <f t="shared" si="55"/>
        <v/>
      </c>
      <c r="CU86" s="146"/>
    </row>
    <row r="87" spans="1:99" ht="16.399999999999999" customHeight="1" x14ac:dyDescent="0.35">
      <c r="A87" s="145" t="str">
        <f t="shared" si="28"/>
        <v/>
      </c>
      <c r="B87" s="145" t="str">
        <f>_xlfn.IFNA(_xlfn.CONCAT(INDEX(Producer!$P:$P,MATCH($D87,Producer!$A:$A,0))," ",IF(INDEX(Producer!$N:$N,MATCH($D87,Producer!$A:$A,0))="Yes","Green ",""),IF(AND(INDEX(Producer!$L:$L,MATCH($D87,Producer!$A:$A,0))="No",INDEX(Producer!$C:$C,MATCH($D87,Producer!$A:$A,0))="Fixed"),"Flexit ",""),INDEX(Producer!$B:$B,MATCH($D87,Producer!$A:$A,0))," Year ",INDEX(Producer!$C:$C,MATCH($D87,Producer!$A:$A,0))," ",VALUE(INDEX(Producer!$E:$E,MATCH($D87,Producer!$A:$A,0)))*100,"% LTV",IF(INDEX(Producer!$N:$N,MATCH($D87,Producer!$A:$A,0))="Yes"," (EPC A-C)","")," - ",IF(INDEX(Producer!$D:$D,MATCH($D87,Producer!$A:$A,0))="DLY","Daily","Annual")),"")</f>
        <v/>
      </c>
      <c r="C87" s="146" t="str">
        <f>_xlfn.IFNA(INDEX(Producer!$Q:$Q,MATCH($D87,Producer!$A:$A,0)),"")</f>
        <v/>
      </c>
      <c r="D87" s="146" t="str">
        <f>IFERROR(VALUE(MID(Producer!$R$2,IF($D86="",1/0,FIND(_xlfn.CONCAT($D85,$D86),Producer!$R$2)+10),5)),"")</f>
        <v/>
      </c>
      <c r="E87" s="146" t="str">
        <f t="shared" si="29"/>
        <v/>
      </c>
      <c r="F87" s="146"/>
      <c r="G87" s="147" t="str">
        <f>_xlfn.IFNA(VALUE(INDEX(Producer!$F:$F,MATCH($D87,Producer!$A:$A,0)))*100,"")</f>
        <v/>
      </c>
      <c r="H87" s="216" t="str">
        <f>_xlfn.IFNA(IFERROR(DATEVALUE(INDEX(Producer!$M:$M,MATCH($D87,Producer!$A:$A,0))),(INDEX(Producer!$M:$M,MATCH($D87,Producer!$A:$A,0)))),"")</f>
        <v/>
      </c>
      <c r="I87" s="217" t="str">
        <f>_xlfn.IFNA(VALUE(INDEX(Producer!$B:$B,MATCH($D87,Producer!$A:$A,0)))*12,"")</f>
        <v/>
      </c>
      <c r="J87" s="146" t="str">
        <f>_xlfn.IFNA(IF(C87="Residential",IF(VALUE(INDEX(Producer!$B:$B,MATCH($D87,Producer!$A:$A,0)))&lt;5,Constants!$C$10,""),IF(VALUE(INDEX(Producer!$B:$B,MATCH($D87,Producer!$A:$A,0)))&lt;5,Constants!$C$11,"")),"")</f>
        <v/>
      </c>
      <c r="K87" s="216" t="str">
        <f>_xlfn.IFNA(IF(($I87)&lt;60,DATE(YEAR(H87)+(5-VALUE(INDEX(Producer!$B:$B,MATCH($D87,Producer!$A:$A,0)))),MONTH(H87),DAY(H87)),""),"")</f>
        <v/>
      </c>
      <c r="L87" s="153" t="str">
        <f t="shared" si="30"/>
        <v/>
      </c>
      <c r="M87" s="146"/>
      <c r="N87" s="148"/>
      <c r="O87" s="148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 t="str">
        <f>IF(D87="","",IF(C87="Residential",Constants!$B$10,Constants!$B$11))</f>
        <v/>
      </c>
      <c r="AL87" s="146" t="str">
        <f t="shared" si="31"/>
        <v/>
      </c>
      <c r="AM87" s="206" t="str">
        <f t="shared" si="32"/>
        <v/>
      </c>
      <c r="AN87" s="146" t="str">
        <f t="shared" si="33"/>
        <v/>
      </c>
      <c r="AO87" s="149" t="str">
        <f t="shared" si="34"/>
        <v/>
      </c>
      <c r="AP87" s="150" t="str">
        <f t="shared" si="35"/>
        <v/>
      </c>
      <c r="AQ87" s="146" t="str">
        <f>IFERROR(_xlfn.IFNA(IF($BA87="No",0,IF(INDEX(Constants!B:B,MATCH(($I87/12),Constants!$A:$A,0))=0,0,INDEX(Constants!B:B,MATCH(($I87/12),Constants!$A:$A,0)))),0),"")</f>
        <v/>
      </c>
      <c r="AR87" s="146" t="str">
        <f>IFERROR(_xlfn.IFNA(IF($BA87="No",0,IF(INDEX(Constants!C:C,MATCH(($I87/12),Constants!$A:$A,0))=0,0,INDEX(Constants!C:C,MATCH(($I87/12),Constants!$A:$A,0)))),0),"")</f>
        <v/>
      </c>
      <c r="AS87" s="146" t="str">
        <f>IFERROR(_xlfn.IFNA(IF($BA87="No",0,IF(INDEX(Constants!D:D,MATCH(($I87/12),Constants!$A:$A,0))=0,0,INDEX(Constants!D:D,MATCH(($I87/12),Constants!$A:$A,0)))),0),"")</f>
        <v/>
      </c>
      <c r="AT87" s="146" t="str">
        <f>IFERROR(_xlfn.IFNA(IF($BA87="No",0,IF(INDEX(Constants!E:E,MATCH(($I87/12),Constants!$A:$A,0))=0,0,INDEX(Constants!E:E,MATCH(($I87/12),Constants!$A:$A,0)))),0),"")</f>
        <v/>
      </c>
      <c r="AU87" s="146" t="str">
        <f>IFERROR(_xlfn.IFNA(IF($BA87="No",0,IF(INDEX(Constants!F:F,MATCH(($I87/12),Constants!$A:$A,0))=0,0,INDEX(Constants!F:F,MATCH(($I87/12),Constants!$A:$A,0)))),0),"")</f>
        <v/>
      </c>
      <c r="AV87" s="146" t="str">
        <f>IFERROR(_xlfn.IFNA(IF($BA87="No",0,IF(INDEX(Constants!G:G,MATCH(($I87/12),Constants!$A:$A,0))=0,0,INDEX(Constants!G:G,MATCH(($I87/12),Constants!$A:$A,0)))),0),"")</f>
        <v/>
      </c>
      <c r="AW87" s="146" t="str">
        <f>IFERROR(_xlfn.IFNA(IF($BA87="No",0,IF(INDEX(Constants!H:H,MATCH(($I87/12),Constants!$A:$A,0))=0,0,INDEX(Constants!H:H,MATCH(($I87/12),Constants!$A:$A,0)))),0),"")</f>
        <v/>
      </c>
      <c r="AX87" s="146" t="str">
        <f>IFERROR(_xlfn.IFNA(IF($BA87="No",0,IF(INDEX(Constants!I:I,MATCH(($I87/12),Constants!$A:$A,0))=0,0,INDEX(Constants!I:I,MATCH(($I87/12),Constants!$A:$A,0)))),0),"")</f>
        <v/>
      </c>
      <c r="AY87" s="146" t="str">
        <f>IFERROR(_xlfn.IFNA(IF($BA87="No",0,IF(INDEX(Constants!J:J,MATCH(($I87/12),Constants!$A:$A,0))=0,0,INDEX(Constants!J:J,MATCH(($I87/12),Constants!$A:$A,0)))),0),"")</f>
        <v/>
      </c>
      <c r="AZ87" s="146" t="str">
        <f>IFERROR(_xlfn.IFNA(IF($BA87="No",0,IF(INDEX(Constants!K:K,MATCH(($I87/12),Constants!$A:$A,0))=0,0,INDEX(Constants!K:K,MATCH(($I87/12),Constants!$A:$A,0)))),0),"")</f>
        <v/>
      </c>
      <c r="BA87" s="147" t="str">
        <f>_xlfn.IFNA(INDEX(Producer!$L:$L,MATCH($D87,Producer!$A:$A,0)),"")</f>
        <v/>
      </c>
      <c r="BB87" s="146" t="str">
        <f>IFERROR(IF(AQ87=0,"",IF(($I87/12)=15,_xlfn.CONCAT(Constants!$N$7,TEXT(DATE(YEAR(H87)-(($I87/12)-3),MONTH(H87),DAY(H87)),"dd/mm/yyyy"),", ",Constants!$P$7,TEXT(DATE(YEAR(H87)-(($I87/12)-8),MONTH(H87),DAY(H87)),"dd/mm/yyyy"),", ",Constants!$T$7,TEXT(DATE(YEAR(H87)-(($I87/12)-11),MONTH(H87),DAY(H87)),"dd/mm/yyyy"),", ",Constants!$V$7,TEXT(DATE(YEAR(H87)-(($I87/12)-13),MONTH(H87),DAY(H87)),"dd/mm/yyyy"),", ",Constants!$W$7,TEXT($H87,"dd/mm/yyyy")),IF(($I87/12)=10,_xlfn.CONCAT(Constants!$N$6,TEXT(DATE(YEAR(H87)-(($I87/12)-2),MONTH(H87),DAY(H87)),"dd/mm/yyyy"),", ",Constants!$P$6,TEXT(DATE(YEAR(H87)-(($I87/12)-6),MONTH(H87),DAY(H87)),"dd/mm/yyyy"),", ",Constants!$T$6,TEXT(DATE(YEAR(H87)-(($I87/12)-8),MONTH(H87),DAY(H87)),"dd/mm/yyyy"),", ",Constants!$V$6,TEXT(DATE(YEAR(H87)-(($I87/12)-9),MONTH(H87),DAY(H87)),"dd/mm/yyyy"),", ",Constants!$W$6,TEXT($H87,"dd/mm/yyyy")),IF(($I87/12)=5,_xlfn.CONCAT(Constants!$N$5,TEXT(DATE(YEAR(H87)-(($I87/12)-1),MONTH(H87),DAY(H87)),"dd/mm/yyyy"),", ",Constants!$O$5,TEXT(DATE(YEAR(H87)-(($I87/12)-2),MONTH(H87),DAY(H87)),"dd/mm/yyyy"),", ",Constants!$P$5,TEXT(DATE(YEAR(H87)-(($I87/12)-3),MONTH(H87),DAY(H87)),"dd/mm/yyyy"),", ",Constants!$Q$5,TEXT(DATE(YEAR(H87)-(($I87/12)-4),MONTH(H87),DAY(H87)),"dd/mm/yyyy"),", ",Constants!$R$5,TEXT($H87,"dd/mm/yyyy")),IF(($I87/12)=3,_xlfn.CONCAT(Constants!$N$4,TEXT(DATE(YEAR(H87)-(($I87/12)-1),MONTH(H87),DAY(H87)),"dd/mm/yyyy"),", ",Constants!$O$4,TEXT(DATE(YEAR(H87)-(($I87/12)-2),MONTH(H87),DAY(H87)),"dd/mm/yyyy"),", ",Constants!$P$4,TEXT($H87,"dd/mm/yyyy")),IF(($I87/12)=2,_xlfn.CONCAT(Constants!$N$3,TEXT(DATE(YEAR(H87)-(($I87/12)-1),MONTH(H87),DAY(H87)),"dd/mm/yyyy"),", ",Constants!$O$3,TEXT($H87,"dd/mm/yyyy")),IF(($I87/12)=1,_xlfn.CONCAT(Constants!$N$2,TEXT($H87,"dd/mm/yyyy")),"Update Constants"))))))),"")</f>
        <v/>
      </c>
      <c r="BC87" s="147" t="str">
        <f>_xlfn.IFNA(VALUE(INDEX(Producer!$K:$K,MATCH($D87,Producer!$A:$A,0))),"")</f>
        <v/>
      </c>
      <c r="BD87" s="147" t="str">
        <f>_xlfn.IFNA(INDEX(Producer!$I:$I,MATCH($D87,Producer!$A:$A,0)),"")</f>
        <v/>
      </c>
      <c r="BE87" s="147" t="str">
        <f t="shared" si="36"/>
        <v/>
      </c>
      <c r="BF87" s="147"/>
      <c r="BG87" s="147"/>
      <c r="BH87" s="151" t="str">
        <f>_xlfn.IFNA(INDEX(Constants!$B:$B,MATCH(BC87,Constants!A:A,0)),"")</f>
        <v/>
      </c>
      <c r="BI87" s="147" t="str">
        <f>IF(LEFT(B87,15)="Limited Company",Constants!$D$16,IFERROR(_xlfn.IFNA(IF(C87="Residential",IF(BK87&lt;75,INDEX(Constants!$B:$B,MATCH(VALUE(60)/100,Constants!$A:$A,0)),INDEX(Constants!$B:$B,MATCH(VALUE(BK87)/100,Constants!$A:$A,0))),IF(BK87&lt;60,INDEX(Constants!$C:$C,MATCH(VALUE(60)/100,Constants!$A:$A,0)),INDEX(Constants!$C:$C,MATCH(VALUE(BK87)/100,Constants!$A:$A,0)))),""),""))</f>
        <v/>
      </c>
      <c r="BJ87" s="147" t="str">
        <f t="shared" si="37"/>
        <v/>
      </c>
      <c r="BK87" s="147" t="str">
        <f>_xlfn.IFNA(VALUE(INDEX(Producer!$E:$E,MATCH($D87,Producer!$A:$A,0)))*100,"")</f>
        <v/>
      </c>
      <c r="BL87" s="146" t="str">
        <f>_xlfn.IFNA(IF(IFERROR(FIND("Part &amp; Part",B87),-10)&gt;0,"PP",IF(OR(LEFT(B87,25)="Residential Interest Only",INDEX(Producer!$P:$P,MATCH($D87,Producer!$A:$A,0))="IO",INDEX(Producer!$P:$P,MATCH($D87,Producer!$A:$A,0))="Retirement Interest Only"),"IO",IF($C87="BuyToLet","CI, IO","CI"))),"")</f>
        <v/>
      </c>
      <c r="BM87" s="152" t="str">
        <f>_xlfn.IFNA(IF(BL87="IO",100%,IF(AND(INDEX(Producer!$P:$P,MATCH($D87,Producer!$A:$A,0))="Residential Interest Only Part &amp; Part",BK87=75),80%,IF(C87="BuyToLet",100%,IF(BL87="Interest Only",100%,IF(AND(INDEX(Producer!$P:$P,MATCH($D87,Producer!$A:$A,0))="Residential Interest Only Part &amp; Part",BK87=60),100%,""))))),"")</f>
        <v/>
      </c>
      <c r="BN87" s="218" t="str">
        <f>_xlfn.IFNA(IF(VALUE(INDEX(Producer!$H:$H,MATCH($D87,Producer!$A:$A,0)))=0,"",VALUE(INDEX(Producer!$H:$H,MATCH($D87,Producer!$A:$A,0)))),"")</f>
        <v/>
      </c>
      <c r="BO87" s="153"/>
      <c r="BP87" s="153"/>
      <c r="BQ87" s="219" t="str">
        <f t="shared" si="38"/>
        <v/>
      </c>
      <c r="BR87" s="146"/>
      <c r="BS87" s="146"/>
      <c r="BT87" s="146"/>
      <c r="BU87" s="146"/>
      <c r="BV87" s="219" t="str">
        <f t="shared" si="39"/>
        <v/>
      </c>
      <c r="BW87" s="146"/>
      <c r="BX87" s="146"/>
      <c r="BY87" s="146" t="str">
        <f t="shared" si="40"/>
        <v/>
      </c>
      <c r="BZ87" s="146" t="str">
        <f t="shared" si="41"/>
        <v/>
      </c>
      <c r="CA87" s="146" t="str">
        <f t="shared" si="42"/>
        <v/>
      </c>
      <c r="CB87" s="146" t="str">
        <f t="shared" si="43"/>
        <v/>
      </c>
      <c r="CC87" s="146" t="str">
        <f>_xlfn.IFNA(IF(INDEX(Producer!$P:$P,MATCH($D87,Producer!$A:$A,0))="Help to Buy","Only available","No"),"")</f>
        <v/>
      </c>
      <c r="CD87" s="146" t="str">
        <f>_xlfn.IFNA(IF(INDEX(Producer!$P:$P,MATCH($D87,Producer!$A:$A,0))="Shared Ownership","Only available","No"),"")</f>
        <v/>
      </c>
      <c r="CE87" s="146" t="str">
        <f>_xlfn.IFNA(IF(INDEX(Producer!$P:$P,MATCH($D87,Producer!$A:$A,0))="Right to Buy","Only available","No"),"")</f>
        <v/>
      </c>
      <c r="CF87" s="146" t="str">
        <f t="shared" si="44"/>
        <v/>
      </c>
      <c r="CG87" s="146" t="str">
        <f>_xlfn.IFNA(IF(INDEX(Producer!$P:$P,MATCH($D87,Producer!$A:$A,0))="Retirement Interest Only","Only available","No"),"")</f>
        <v/>
      </c>
      <c r="CH87" s="146" t="str">
        <f t="shared" si="45"/>
        <v/>
      </c>
      <c r="CI87" s="146" t="str">
        <f>_xlfn.IFNA(IF(INDEX(Producer!$P:$P,MATCH($D87,Producer!$A:$A,0))="Intermediary Holiday Let","Only available","No"),"")</f>
        <v/>
      </c>
      <c r="CJ87" s="146" t="str">
        <f t="shared" si="46"/>
        <v/>
      </c>
      <c r="CK87" s="146" t="str">
        <f>_xlfn.IFNA(IF(OR(INDEX(Producer!$P:$P,MATCH($D87,Producer!$A:$A,0))="Intermediary Small HMO",INDEX(Producer!$P:$P,MATCH($D87,Producer!$A:$A,0))="Intermediary Large HMO"),"Only available","No"),"")</f>
        <v/>
      </c>
      <c r="CL87" s="146" t="str">
        <f t="shared" si="47"/>
        <v/>
      </c>
      <c r="CM87" s="146" t="str">
        <f t="shared" si="48"/>
        <v/>
      </c>
      <c r="CN87" s="146" t="str">
        <f t="shared" si="49"/>
        <v/>
      </c>
      <c r="CO87" s="146" t="str">
        <f t="shared" si="50"/>
        <v/>
      </c>
      <c r="CP87" s="146" t="str">
        <f t="shared" si="51"/>
        <v/>
      </c>
      <c r="CQ87" s="146" t="str">
        <f t="shared" si="52"/>
        <v/>
      </c>
      <c r="CR87" s="146" t="str">
        <f t="shared" si="53"/>
        <v/>
      </c>
      <c r="CS87" s="146" t="str">
        <f t="shared" si="54"/>
        <v/>
      </c>
      <c r="CT87" s="146" t="str">
        <f t="shared" si="55"/>
        <v/>
      </c>
      <c r="CU87" s="146"/>
    </row>
    <row r="88" spans="1:99" ht="16.399999999999999" customHeight="1" x14ac:dyDescent="0.35">
      <c r="A88" s="145" t="str">
        <f t="shared" si="28"/>
        <v/>
      </c>
      <c r="B88" s="145" t="str">
        <f>_xlfn.IFNA(_xlfn.CONCAT(INDEX(Producer!$P:$P,MATCH($D88,Producer!$A:$A,0))," ",IF(INDEX(Producer!$N:$N,MATCH($D88,Producer!$A:$A,0))="Yes","Green ",""),IF(AND(INDEX(Producer!$L:$L,MATCH($D88,Producer!$A:$A,0))="No",INDEX(Producer!$C:$C,MATCH($D88,Producer!$A:$A,0))="Fixed"),"Flexit ",""),INDEX(Producer!$B:$B,MATCH($D88,Producer!$A:$A,0))," Year ",INDEX(Producer!$C:$C,MATCH($D88,Producer!$A:$A,0))," ",VALUE(INDEX(Producer!$E:$E,MATCH($D88,Producer!$A:$A,0)))*100,"% LTV",IF(INDEX(Producer!$N:$N,MATCH($D88,Producer!$A:$A,0))="Yes"," (EPC A-C)","")," - ",IF(INDEX(Producer!$D:$D,MATCH($D88,Producer!$A:$A,0))="DLY","Daily","Annual")),"")</f>
        <v/>
      </c>
      <c r="C88" s="146" t="str">
        <f>_xlfn.IFNA(INDEX(Producer!$Q:$Q,MATCH($D88,Producer!$A:$A,0)),"")</f>
        <v/>
      </c>
      <c r="D88" s="146" t="str">
        <f>IFERROR(VALUE(MID(Producer!$R$2,IF($D87="",1/0,FIND(_xlfn.CONCAT($D86,$D87),Producer!$R$2)+10),5)),"")</f>
        <v/>
      </c>
      <c r="E88" s="146" t="str">
        <f t="shared" si="29"/>
        <v/>
      </c>
      <c r="F88" s="146"/>
      <c r="G88" s="147" t="str">
        <f>_xlfn.IFNA(VALUE(INDEX(Producer!$F:$F,MATCH($D88,Producer!$A:$A,0)))*100,"")</f>
        <v/>
      </c>
      <c r="H88" s="216" t="str">
        <f>_xlfn.IFNA(IFERROR(DATEVALUE(INDEX(Producer!$M:$M,MATCH($D88,Producer!$A:$A,0))),(INDEX(Producer!$M:$M,MATCH($D88,Producer!$A:$A,0)))),"")</f>
        <v/>
      </c>
      <c r="I88" s="217" t="str">
        <f>_xlfn.IFNA(VALUE(INDEX(Producer!$B:$B,MATCH($D88,Producer!$A:$A,0)))*12,"")</f>
        <v/>
      </c>
      <c r="J88" s="146" t="str">
        <f>_xlfn.IFNA(IF(C88="Residential",IF(VALUE(INDEX(Producer!$B:$B,MATCH($D88,Producer!$A:$A,0)))&lt;5,Constants!$C$10,""),IF(VALUE(INDEX(Producer!$B:$B,MATCH($D88,Producer!$A:$A,0)))&lt;5,Constants!$C$11,"")),"")</f>
        <v/>
      </c>
      <c r="K88" s="216" t="str">
        <f>_xlfn.IFNA(IF(($I88)&lt;60,DATE(YEAR(H88)+(5-VALUE(INDEX(Producer!$B:$B,MATCH($D88,Producer!$A:$A,0)))),MONTH(H88),DAY(H88)),""),"")</f>
        <v/>
      </c>
      <c r="L88" s="153" t="str">
        <f t="shared" si="30"/>
        <v/>
      </c>
      <c r="M88" s="146"/>
      <c r="N88" s="148"/>
      <c r="O88" s="148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 t="str">
        <f>IF(D88="","",IF(C88="Residential",Constants!$B$10,Constants!$B$11))</f>
        <v/>
      </c>
      <c r="AL88" s="146" t="str">
        <f t="shared" si="31"/>
        <v/>
      </c>
      <c r="AM88" s="206" t="str">
        <f t="shared" si="32"/>
        <v/>
      </c>
      <c r="AN88" s="146" t="str">
        <f t="shared" si="33"/>
        <v/>
      </c>
      <c r="AO88" s="149" t="str">
        <f t="shared" si="34"/>
        <v/>
      </c>
      <c r="AP88" s="150" t="str">
        <f t="shared" si="35"/>
        <v/>
      </c>
      <c r="AQ88" s="146" t="str">
        <f>IFERROR(_xlfn.IFNA(IF($BA88="No",0,IF(INDEX(Constants!B:B,MATCH(($I88/12),Constants!$A:$A,0))=0,0,INDEX(Constants!B:B,MATCH(($I88/12),Constants!$A:$A,0)))),0),"")</f>
        <v/>
      </c>
      <c r="AR88" s="146" t="str">
        <f>IFERROR(_xlfn.IFNA(IF($BA88="No",0,IF(INDEX(Constants!C:C,MATCH(($I88/12),Constants!$A:$A,0))=0,0,INDEX(Constants!C:C,MATCH(($I88/12),Constants!$A:$A,0)))),0),"")</f>
        <v/>
      </c>
      <c r="AS88" s="146" t="str">
        <f>IFERROR(_xlfn.IFNA(IF($BA88="No",0,IF(INDEX(Constants!D:D,MATCH(($I88/12),Constants!$A:$A,0))=0,0,INDEX(Constants!D:D,MATCH(($I88/12),Constants!$A:$A,0)))),0),"")</f>
        <v/>
      </c>
      <c r="AT88" s="146" t="str">
        <f>IFERROR(_xlfn.IFNA(IF($BA88="No",0,IF(INDEX(Constants!E:E,MATCH(($I88/12),Constants!$A:$A,0))=0,0,INDEX(Constants!E:E,MATCH(($I88/12),Constants!$A:$A,0)))),0),"")</f>
        <v/>
      </c>
      <c r="AU88" s="146" t="str">
        <f>IFERROR(_xlfn.IFNA(IF($BA88="No",0,IF(INDEX(Constants!F:F,MATCH(($I88/12),Constants!$A:$A,0))=0,0,INDEX(Constants!F:F,MATCH(($I88/12),Constants!$A:$A,0)))),0),"")</f>
        <v/>
      </c>
      <c r="AV88" s="146" t="str">
        <f>IFERROR(_xlfn.IFNA(IF($BA88="No",0,IF(INDEX(Constants!G:G,MATCH(($I88/12),Constants!$A:$A,0))=0,0,INDEX(Constants!G:G,MATCH(($I88/12),Constants!$A:$A,0)))),0),"")</f>
        <v/>
      </c>
      <c r="AW88" s="146" t="str">
        <f>IFERROR(_xlfn.IFNA(IF($BA88="No",0,IF(INDEX(Constants!H:H,MATCH(($I88/12),Constants!$A:$A,0))=0,0,INDEX(Constants!H:H,MATCH(($I88/12),Constants!$A:$A,0)))),0),"")</f>
        <v/>
      </c>
      <c r="AX88" s="146" t="str">
        <f>IFERROR(_xlfn.IFNA(IF($BA88="No",0,IF(INDEX(Constants!I:I,MATCH(($I88/12),Constants!$A:$A,0))=0,0,INDEX(Constants!I:I,MATCH(($I88/12),Constants!$A:$A,0)))),0),"")</f>
        <v/>
      </c>
      <c r="AY88" s="146" t="str">
        <f>IFERROR(_xlfn.IFNA(IF($BA88="No",0,IF(INDEX(Constants!J:J,MATCH(($I88/12),Constants!$A:$A,0))=0,0,INDEX(Constants!J:J,MATCH(($I88/12),Constants!$A:$A,0)))),0),"")</f>
        <v/>
      </c>
      <c r="AZ88" s="146" t="str">
        <f>IFERROR(_xlfn.IFNA(IF($BA88="No",0,IF(INDEX(Constants!K:K,MATCH(($I88/12),Constants!$A:$A,0))=0,0,INDEX(Constants!K:K,MATCH(($I88/12),Constants!$A:$A,0)))),0),"")</f>
        <v/>
      </c>
      <c r="BA88" s="147" t="str">
        <f>_xlfn.IFNA(INDEX(Producer!$L:$L,MATCH($D88,Producer!$A:$A,0)),"")</f>
        <v/>
      </c>
      <c r="BB88" s="146" t="str">
        <f>IFERROR(IF(AQ88=0,"",IF(($I88/12)=15,_xlfn.CONCAT(Constants!$N$7,TEXT(DATE(YEAR(H88)-(($I88/12)-3),MONTH(H88),DAY(H88)),"dd/mm/yyyy"),", ",Constants!$P$7,TEXT(DATE(YEAR(H88)-(($I88/12)-8),MONTH(H88),DAY(H88)),"dd/mm/yyyy"),", ",Constants!$T$7,TEXT(DATE(YEAR(H88)-(($I88/12)-11),MONTH(H88),DAY(H88)),"dd/mm/yyyy"),", ",Constants!$V$7,TEXT(DATE(YEAR(H88)-(($I88/12)-13),MONTH(H88),DAY(H88)),"dd/mm/yyyy"),", ",Constants!$W$7,TEXT($H88,"dd/mm/yyyy")),IF(($I88/12)=10,_xlfn.CONCAT(Constants!$N$6,TEXT(DATE(YEAR(H88)-(($I88/12)-2),MONTH(H88),DAY(H88)),"dd/mm/yyyy"),", ",Constants!$P$6,TEXT(DATE(YEAR(H88)-(($I88/12)-6),MONTH(H88),DAY(H88)),"dd/mm/yyyy"),", ",Constants!$T$6,TEXT(DATE(YEAR(H88)-(($I88/12)-8),MONTH(H88),DAY(H88)),"dd/mm/yyyy"),", ",Constants!$V$6,TEXT(DATE(YEAR(H88)-(($I88/12)-9),MONTH(H88),DAY(H88)),"dd/mm/yyyy"),", ",Constants!$W$6,TEXT($H88,"dd/mm/yyyy")),IF(($I88/12)=5,_xlfn.CONCAT(Constants!$N$5,TEXT(DATE(YEAR(H88)-(($I88/12)-1),MONTH(H88),DAY(H88)),"dd/mm/yyyy"),", ",Constants!$O$5,TEXT(DATE(YEAR(H88)-(($I88/12)-2),MONTH(H88),DAY(H88)),"dd/mm/yyyy"),", ",Constants!$P$5,TEXT(DATE(YEAR(H88)-(($I88/12)-3),MONTH(H88),DAY(H88)),"dd/mm/yyyy"),", ",Constants!$Q$5,TEXT(DATE(YEAR(H88)-(($I88/12)-4),MONTH(H88),DAY(H88)),"dd/mm/yyyy"),", ",Constants!$R$5,TEXT($H88,"dd/mm/yyyy")),IF(($I88/12)=3,_xlfn.CONCAT(Constants!$N$4,TEXT(DATE(YEAR(H88)-(($I88/12)-1),MONTH(H88),DAY(H88)),"dd/mm/yyyy"),", ",Constants!$O$4,TEXT(DATE(YEAR(H88)-(($I88/12)-2),MONTH(H88),DAY(H88)),"dd/mm/yyyy"),", ",Constants!$P$4,TEXT($H88,"dd/mm/yyyy")),IF(($I88/12)=2,_xlfn.CONCAT(Constants!$N$3,TEXT(DATE(YEAR(H88)-(($I88/12)-1),MONTH(H88),DAY(H88)),"dd/mm/yyyy"),", ",Constants!$O$3,TEXT($H88,"dd/mm/yyyy")),IF(($I88/12)=1,_xlfn.CONCAT(Constants!$N$2,TEXT($H88,"dd/mm/yyyy")),"Update Constants"))))))),"")</f>
        <v/>
      </c>
      <c r="BC88" s="147" t="str">
        <f>_xlfn.IFNA(VALUE(INDEX(Producer!$K:$K,MATCH($D88,Producer!$A:$A,0))),"")</f>
        <v/>
      </c>
      <c r="BD88" s="147" t="str">
        <f>_xlfn.IFNA(INDEX(Producer!$I:$I,MATCH($D88,Producer!$A:$A,0)),"")</f>
        <v/>
      </c>
      <c r="BE88" s="147" t="str">
        <f t="shared" si="36"/>
        <v/>
      </c>
      <c r="BF88" s="147"/>
      <c r="BG88" s="147"/>
      <c r="BH88" s="151" t="str">
        <f>_xlfn.IFNA(INDEX(Constants!$B:$B,MATCH(BC88,Constants!A:A,0)),"")</f>
        <v/>
      </c>
      <c r="BI88" s="147" t="str">
        <f>IF(LEFT(B88,15)="Limited Company",Constants!$D$16,IFERROR(_xlfn.IFNA(IF(C88="Residential",IF(BK88&lt;75,INDEX(Constants!$B:$B,MATCH(VALUE(60)/100,Constants!$A:$A,0)),INDEX(Constants!$B:$B,MATCH(VALUE(BK88)/100,Constants!$A:$A,0))),IF(BK88&lt;60,INDEX(Constants!$C:$C,MATCH(VALUE(60)/100,Constants!$A:$A,0)),INDEX(Constants!$C:$C,MATCH(VALUE(BK88)/100,Constants!$A:$A,0)))),""),""))</f>
        <v/>
      </c>
      <c r="BJ88" s="147" t="str">
        <f t="shared" si="37"/>
        <v/>
      </c>
      <c r="BK88" s="147" t="str">
        <f>_xlfn.IFNA(VALUE(INDEX(Producer!$E:$E,MATCH($D88,Producer!$A:$A,0)))*100,"")</f>
        <v/>
      </c>
      <c r="BL88" s="146" t="str">
        <f>_xlfn.IFNA(IF(IFERROR(FIND("Part &amp; Part",B88),-10)&gt;0,"PP",IF(OR(LEFT(B88,25)="Residential Interest Only",INDEX(Producer!$P:$P,MATCH($D88,Producer!$A:$A,0))="IO",INDEX(Producer!$P:$P,MATCH($D88,Producer!$A:$A,0))="Retirement Interest Only"),"IO",IF($C88="BuyToLet","CI, IO","CI"))),"")</f>
        <v/>
      </c>
      <c r="BM88" s="152" t="str">
        <f>_xlfn.IFNA(IF(BL88="IO",100%,IF(AND(INDEX(Producer!$P:$P,MATCH($D88,Producer!$A:$A,0))="Residential Interest Only Part &amp; Part",BK88=75),80%,IF(C88="BuyToLet",100%,IF(BL88="Interest Only",100%,IF(AND(INDEX(Producer!$P:$P,MATCH($D88,Producer!$A:$A,0))="Residential Interest Only Part &amp; Part",BK88=60),100%,""))))),"")</f>
        <v/>
      </c>
      <c r="BN88" s="218" t="str">
        <f>_xlfn.IFNA(IF(VALUE(INDEX(Producer!$H:$H,MATCH($D88,Producer!$A:$A,0)))=0,"",VALUE(INDEX(Producer!$H:$H,MATCH($D88,Producer!$A:$A,0)))),"")</f>
        <v/>
      </c>
      <c r="BO88" s="153"/>
      <c r="BP88" s="153"/>
      <c r="BQ88" s="219" t="str">
        <f t="shared" si="38"/>
        <v/>
      </c>
      <c r="BR88" s="146"/>
      <c r="BS88" s="146"/>
      <c r="BT88" s="146"/>
      <c r="BU88" s="146"/>
      <c r="BV88" s="219" t="str">
        <f t="shared" si="39"/>
        <v/>
      </c>
      <c r="BW88" s="146"/>
      <c r="BX88" s="146"/>
      <c r="BY88" s="146" t="str">
        <f t="shared" si="40"/>
        <v/>
      </c>
      <c r="BZ88" s="146" t="str">
        <f t="shared" si="41"/>
        <v/>
      </c>
      <c r="CA88" s="146" t="str">
        <f t="shared" si="42"/>
        <v/>
      </c>
      <c r="CB88" s="146" t="str">
        <f t="shared" si="43"/>
        <v/>
      </c>
      <c r="CC88" s="146" t="str">
        <f>_xlfn.IFNA(IF(INDEX(Producer!$P:$P,MATCH($D88,Producer!$A:$A,0))="Help to Buy","Only available","No"),"")</f>
        <v/>
      </c>
      <c r="CD88" s="146" t="str">
        <f>_xlfn.IFNA(IF(INDEX(Producer!$P:$P,MATCH($D88,Producer!$A:$A,0))="Shared Ownership","Only available","No"),"")</f>
        <v/>
      </c>
      <c r="CE88" s="146" t="str">
        <f>_xlfn.IFNA(IF(INDEX(Producer!$P:$P,MATCH($D88,Producer!$A:$A,0))="Right to Buy","Only available","No"),"")</f>
        <v/>
      </c>
      <c r="CF88" s="146" t="str">
        <f t="shared" si="44"/>
        <v/>
      </c>
      <c r="CG88" s="146" t="str">
        <f>_xlfn.IFNA(IF(INDEX(Producer!$P:$P,MATCH($D88,Producer!$A:$A,0))="Retirement Interest Only","Only available","No"),"")</f>
        <v/>
      </c>
      <c r="CH88" s="146" t="str">
        <f t="shared" si="45"/>
        <v/>
      </c>
      <c r="CI88" s="146" t="str">
        <f>_xlfn.IFNA(IF(INDEX(Producer!$P:$P,MATCH($D88,Producer!$A:$A,0))="Intermediary Holiday Let","Only available","No"),"")</f>
        <v/>
      </c>
      <c r="CJ88" s="146" t="str">
        <f t="shared" si="46"/>
        <v/>
      </c>
      <c r="CK88" s="146" t="str">
        <f>_xlfn.IFNA(IF(OR(INDEX(Producer!$P:$P,MATCH($D88,Producer!$A:$A,0))="Intermediary Small HMO",INDEX(Producer!$P:$P,MATCH($D88,Producer!$A:$A,0))="Intermediary Large HMO"),"Only available","No"),"")</f>
        <v/>
      </c>
      <c r="CL88" s="146" t="str">
        <f t="shared" si="47"/>
        <v/>
      </c>
      <c r="CM88" s="146" t="str">
        <f t="shared" si="48"/>
        <v/>
      </c>
      <c r="CN88" s="146" t="str">
        <f t="shared" si="49"/>
        <v/>
      </c>
      <c r="CO88" s="146" t="str">
        <f t="shared" si="50"/>
        <v/>
      </c>
      <c r="CP88" s="146" t="str">
        <f t="shared" si="51"/>
        <v/>
      </c>
      <c r="CQ88" s="146" t="str">
        <f t="shared" si="52"/>
        <v/>
      </c>
      <c r="CR88" s="146" t="str">
        <f t="shared" si="53"/>
        <v/>
      </c>
      <c r="CS88" s="146" t="str">
        <f t="shared" si="54"/>
        <v/>
      </c>
      <c r="CT88" s="146" t="str">
        <f t="shared" si="55"/>
        <v/>
      </c>
      <c r="CU88" s="146"/>
    </row>
    <row r="89" spans="1:99" ht="16.399999999999999" customHeight="1" x14ac:dyDescent="0.35">
      <c r="A89" s="145" t="str">
        <f t="shared" si="28"/>
        <v/>
      </c>
      <c r="B89" s="145" t="str">
        <f>_xlfn.IFNA(_xlfn.CONCAT(INDEX(Producer!$P:$P,MATCH($D89,Producer!$A:$A,0))," ",IF(INDEX(Producer!$N:$N,MATCH($D89,Producer!$A:$A,0))="Yes","Green ",""),IF(AND(INDEX(Producer!$L:$L,MATCH($D89,Producer!$A:$A,0))="No",INDEX(Producer!$C:$C,MATCH($D89,Producer!$A:$A,0))="Fixed"),"Flexit ",""),INDEX(Producer!$B:$B,MATCH($D89,Producer!$A:$A,0))," Year ",INDEX(Producer!$C:$C,MATCH($D89,Producer!$A:$A,0))," ",VALUE(INDEX(Producer!$E:$E,MATCH($D89,Producer!$A:$A,0)))*100,"% LTV",IF(INDEX(Producer!$N:$N,MATCH($D89,Producer!$A:$A,0))="Yes"," (EPC A-C)","")," - ",IF(INDEX(Producer!$D:$D,MATCH($D89,Producer!$A:$A,0))="DLY","Daily","Annual")),"")</f>
        <v/>
      </c>
      <c r="C89" s="146" t="str">
        <f>_xlfn.IFNA(INDEX(Producer!$Q:$Q,MATCH($D89,Producer!$A:$A,0)),"")</f>
        <v/>
      </c>
      <c r="D89" s="146" t="str">
        <f>IFERROR(VALUE(MID(Producer!$R$2,IF($D88="",1/0,FIND(_xlfn.CONCAT($D87,$D88),Producer!$R$2)+10),5)),"")</f>
        <v/>
      </c>
      <c r="E89" s="146" t="str">
        <f t="shared" si="29"/>
        <v/>
      </c>
      <c r="F89" s="146"/>
      <c r="G89" s="147" t="str">
        <f>_xlfn.IFNA(VALUE(INDEX(Producer!$F:$F,MATCH($D89,Producer!$A:$A,0)))*100,"")</f>
        <v/>
      </c>
      <c r="H89" s="216" t="str">
        <f>_xlfn.IFNA(IFERROR(DATEVALUE(INDEX(Producer!$M:$M,MATCH($D89,Producer!$A:$A,0))),(INDEX(Producer!$M:$M,MATCH($D89,Producer!$A:$A,0)))),"")</f>
        <v/>
      </c>
      <c r="I89" s="217" t="str">
        <f>_xlfn.IFNA(VALUE(INDEX(Producer!$B:$B,MATCH($D89,Producer!$A:$A,0)))*12,"")</f>
        <v/>
      </c>
      <c r="J89" s="146" t="str">
        <f>_xlfn.IFNA(IF(C89="Residential",IF(VALUE(INDEX(Producer!$B:$B,MATCH($D89,Producer!$A:$A,0)))&lt;5,Constants!$C$10,""),IF(VALUE(INDEX(Producer!$B:$B,MATCH($D89,Producer!$A:$A,0)))&lt;5,Constants!$C$11,"")),"")</f>
        <v/>
      </c>
      <c r="K89" s="216" t="str">
        <f>_xlfn.IFNA(IF(($I89)&lt;60,DATE(YEAR(H89)+(5-VALUE(INDEX(Producer!$B:$B,MATCH($D89,Producer!$A:$A,0)))),MONTH(H89),DAY(H89)),""),"")</f>
        <v/>
      </c>
      <c r="L89" s="153" t="str">
        <f t="shared" si="30"/>
        <v/>
      </c>
      <c r="M89" s="146"/>
      <c r="N89" s="148"/>
      <c r="O89" s="148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 t="str">
        <f>IF(D89="","",IF(C89="Residential",Constants!$B$10,Constants!$B$11))</f>
        <v/>
      </c>
      <c r="AL89" s="146" t="str">
        <f t="shared" si="31"/>
        <v/>
      </c>
      <c r="AM89" s="206" t="str">
        <f t="shared" si="32"/>
        <v/>
      </c>
      <c r="AN89" s="146" t="str">
        <f t="shared" si="33"/>
        <v/>
      </c>
      <c r="AO89" s="149" t="str">
        <f t="shared" si="34"/>
        <v/>
      </c>
      <c r="AP89" s="150" t="str">
        <f t="shared" si="35"/>
        <v/>
      </c>
      <c r="AQ89" s="146" t="str">
        <f>IFERROR(_xlfn.IFNA(IF($BA89="No",0,IF(INDEX(Constants!B:B,MATCH(($I89/12),Constants!$A:$A,0))=0,0,INDEX(Constants!B:B,MATCH(($I89/12),Constants!$A:$A,0)))),0),"")</f>
        <v/>
      </c>
      <c r="AR89" s="146" t="str">
        <f>IFERROR(_xlfn.IFNA(IF($BA89="No",0,IF(INDEX(Constants!C:C,MATCH(($I89/12),Constants!$A:$A,0))=0,0,INDEX(Constants!C:C,MATCH(($I89/12),Constants!$A:$A,0)))),0),"")</f>
        <v/>
      </c>
      <c r="AS89" s="146" t="str">
        <f>IFERROR(_xlfn.IFNA(IF($BA89="No",0,IF(INDEX(Constants!D:D,MATCH(($I89/12),Constants!$A:$A,0))=0,0,INDEX(Constants!D:D,MATCH(($I89/12),Constants!$A:$A,0)))),0),"")</f>
        <v/>
      </c>
      <c r="AT89" s="146" t="str">
        <f>IFERROR(_xlfn.IFNA(IF($BA89="No",0,IF(INDEX(Constants!E:E,MATCH(($I89/12),Constants!$A:$A,0))=0,0,INDEX(Constants!E:E,MATCH(($I89/12),Constants!$A:$A,0)))),0),"")</f>
        <v/>
      </c>
      <c r="AU89" s="146" t="str">
        <f>IFERROR(_xlfn.IFNA(IF($BA89="No",0,IF(INDEX(Constants!F:F,MATCH(($I89/12),Constants!$A:$A,0))=0,0,INDEX(Constants!F:F,MATCH(($I89/12),Constants!$A:$A,0)))),0),"")</f>
        <v/>
      </c>
      <c r="AV89" s="146" t="str">
        <f>IFERROR(_xlfn.IFNA(IF($BA89="No",0,IF(INDEX(Constants!G:G,MATCH(($I89/12),Constants!$A:$A,0))=0,0,INDEX(Constants!G:G,MATCH(($I89/12),Constants!$A:$A,0)))),0),"")</f>
        <v/>
      </c>
      <c r="AW89" s="146" t="str">
        <f>IFERROR(_xlfn.IFNA(IF($BA89="No",0,IF(INDEX(Constants!H:H,MATCH(($I89/12),Constants!$A:$A,0))=0,0,INDEX(Constants!H:H,MATCH(($I89/12),Constants!$A:$A,0)))),0),"")</f>
        <v/>
      </c>
      <c r="AX89" s="146" t="str">
        <f>IFERROR(_xlfn.IFNA(IF($BA89="No",0,IF(INDEX(Constants!I:I,MATCH(($I89/12),Constants!$A:$A,0))=0,0,INDEX(Constants!I:I,MATCH(($I89/12),Constants!$A:$A,0)))),0),"")</f>
        <v/>
      </c>
      <c r="AY89" s="146" t="str">
        <f>IFERROR(_xlfn.IFNA(IF($BA89="No",0,IF(INDEX(Constants!J:J,MATCH(($I89/12),Constants!$A:$A,0))=0,0,INDEX(Constants!J:J,MATCH(($I89/12),Constants!$A:$A,0)))),0),"")</f>
        <v/>
      </c>
      <c r="AZ89" s="146" t="str">
        <f>IFERROR(_xlfn.IFNA(IF($BA89="No",0,IF(INDEX(Constants!K:K,MATCH(($I89/12),Constants!$A:$A,0))=0,0,INDEX(Constants!K:K,MATCH(($I89/12),Constants!$A:$A,0)))),0),"")</f>
        <v/>
      </c>
      <c r="BA89" s="147" t="str">
        <f>_xlfn.IFNA(INDEX(Producer!$L:$L,MATCH($D89,Producer!$A:$A,0)),"")</f>
        <v/>
      </c>
      <c r="BB89" s="146" t="str">
        <f>IFERROR(IF(AQ89=0,"",IF(($I89/12)=15,_xlfn.CONCAT(Constants!$N$7,TEXT(DATE(YEAR(H89)-(($I89/12)-3),MONTH(H89),DAY(H89)),"dd/mm/yyyy"),", ",Constants!$P$7,TEXT(DATE(YEAR(H89)-(($I89/12)-8),MONTH(H89),DAY(H89)),"dd/mm/yyyy"),", ",Constants!$T$7,TEXT(DATE(YEAR(H89)-(($I89/12)-11),MONTH(H89),DAY(H89)),"dd/mm/yyyy"),", ",Constants!$V$7,TEXT(DATE(YEAR(H89)-(($I89/12)-13),MONTH(H89),DAY(H89)),"dd/mm/yyyy"),", ",Constants!$W$7,TEXT($H89,"dd/mm/yyyy")),IF(($I89/12)=10,_xlfn.CONCAT(Constants!$N$6,TEXT(DATE(YEAR(H89)-(($I89/12)-2),MONTH(H89),DAY(H89)),"dd/mm/yyyy"),", ",Constants!$P$6,TEXT(DATE(YEAR(H89)-(($I89/12)-6),MONTH(H89),DAY(H89)),"dd/mm/yyyy"),", ",Constants!$T$6,TEXT(DATE(YEAR(H89)-(($I89/12)-8),MONTH(H89),DAY(H89)),"dd/mm/yyyy"),", ",Constants!$V$6,TEXT(DATE(YEAR(H89)-(($I89/12)-9),MONTH(H89),DAY(H89)),"dd/mm/yyyy"),", ",Constants!$W$6,TEXT($H89,"dd/mm/yyyy")),IF(($I89/12)=5,_xlfn.CONCAT(Constants!$N$5,TEXT(DATE(YEAR(H89)-(($I89/12)-1),MONTH(H89),DAY(H89)),"dd/mm/yyyy"),", ",Constants!$O$5,TEXT(DATE(YEAR(H89)-(($I89/12)-2),MONTH(H89),DAY(H89)),"dd/mm/yyyy"),", ",Constants!$P$5,TEXT(DATE(YEAR(H89)-(($I89/12)-3),MONTH(H89),DAY(H89)),"dd/mm/yyyy"),", ",Constants!$Q$5,TEXT(DATE(YEAR(H89)-(($I89/12)-4),MONTH(H89),DAY(H89)),"dd/mm/yyyy"),", ",Constants!$R$5,TEXT($H89,"dd/mm/yyyy")),IF(($I89/12)=3,_xlfn.CONCAT(Constants!$N$4,TEXT(DATE(YEAR(H89)-(($I89/12)-1),MONTH(H89),DAY(H89)),"dd/mm/yyyy"),", ",Constants!$O$4,TEXT(DATE(YEAR(H89)-(($I89/12)-2),MONTH(H89),DAY(H89)),"dd/mm/yyyy"),", ",Constants!$P$4,TEXT($H89,"dd/mm/yyyy")),IF(($I89/12)=2,_xlfn.CONCAT(Constants!$N$3,TEXT(DATE(YEAR(H89)-(($I89/12)-1),MONTH(H89),DAY(H89)),"dd/mm/yyyy"),", ",Constants!$O$3,TEXT($H89,"dd/mm/yyyy")),IF(($I89/12)=1,_xlfn.CONCAT(Constants!$N$2,TEXT($H89,"dd/mm/yyyy")),"Update Constants"))))))),"")</f>
        <v/>
      </c>
      <c r="BC89" s="147" t="str">
        <f>_xlfn.IFNA(VALUE(INDEX(Producer!$K:$K,MATCH($D89,Producer!$A:$A,0))),"")</f>
        <v/>
      </c>
      <c r="BD89" s="147" t="str">
        <f>_xlfn.IFNA(INDEX(Producer!$I:$I,MATCH($D89,Producer!$A:$A,0)),"")</f>
        <v/>
      </c>
      <c r="BE89" s="147" t="str">
        <f t="shared" si="36"/>
        <v/>
      </c>
      <c r="BF89" s="147"/>
      <c r="BG89" s="147"/>
      <c r="BH89" s="151" t="str">
        <f>_xlfn.IFNA(INDEX(Constants!$B:$B,MATCH(BC89,Constants!A:A,0)),"")</f>
        <v/>
      </c>
      <c r="BI89" s="147" t="str">
        <f>IF(LEFT(B89,15)="Limited Company",Constants!$D$16,IFERROR(_xlfn.IFNA(IF(C89="Residential",IF(BK89&lt;75,INDEX(Constants!$B:$B,MATCH(VALUE(60)/100,Constants!$A:$A,0)),INDEX(Constants!$B:$B,MATCH(VALUE(BK89)/100,Constants!$A:$A,0))),IF(BK89&lt;60,INDEX(Constants!$C:$C,MATCH(VALUE(60)/100,Constants!$A:$A,0)),INDEX(Constants!$C:$C,MATCH(VALUE(BK89)/100,Constants!$A:$A,0)))),""),""))</f>
        <v/>
      </c>
      <c r="BJ89" s="147" t="str">
        <f t="shared" si="37"/>
        <v/>
      </c>
      <c r="BK89" s="147" t="str">
        <f>_xlfn.IFNA(VALUE(INDEX(Producer!$E:$E,MATCH($D89,Producer!$A:$A,0)))*100,"")</f>
        <v/>
      </c>
      <c r="BL89" s="146" t="str">
        <f>_xlfn.IFNA(IF(IFERROR(FIND("Part &amp; Part",B89),-10)&gt;0,"PP",IF(OR(LEFT(B89,25)="Residential Interest Only",INDEX(Producer!$P:$P,MATCH($D89,Producer!$A:$A,0))="IO",INDEX(Producer!$P:$P,MATCH($D89,Producer!$A:$A,0))="Retirement Interest Only"),"IO",IF($C89="BuyToLet","CI, IO","CI"))),"")</f>
        <v/>
      </c>
      <c r="BM89" s="152" t="str">
        <f>_xlfn.IFNA(IF(BL89="IO",100%,IF(AND(INDEX(Producer!$P:$P,MATCH($D89,Producer!$A:$A,0))="Residential Interest Only Part &amp; Part",BK89=75),80%,IF(C89="BuyToLet",100%,IF(BL89="Interest Only",100%,IF(AND(INDEX(Producer!$P:$P,MATCH($D89,Producer!$A:$A,0))="Residential Interest Only Part &amp; Part",BK89=60),100%,""))))),"")</f>
        <v/>
      </c>
      <c r="BN89" s="218" t="str">
        <f>_xlfn.IFNA(IF(VALUE(INDEX(Producer!$H:$H,MATCH($D89,Producer!$A:$A,0)))=0,"",VALUE(INDEX(Producer!$H:$H,MATCH($D89,Producer!$A:$A,0)))),"")</f>
        <v/>
      </c>
      <c r="BO89" s="153"/>
      <c r="BP89" s="153"/>
      <c r="BQ89" s="219" t="str">
        <f t="shared" si="38"/>
        <v/>
      </c>
      <c r="BR89" s="146"/>
      <c r="BS89" s="146"/>
      <c r="BT89" s="146"/>
      <c r="BU89" s="146"/>
      <c r="BV89" s="219" t="str">
        <f t="shared" si="39"/>
        <v/>
      </c>
      <c r="BW89" s="146"/>
      <c r="BX89" s="146"/>
      <c r="BY89" s="146" t="str">
        <f t="shared" si="40"/>
        <v/>
      </c>
      <c r="BZ89" s="146" t="str">
        <f t="shared" si="41"/>
        <v/>
      </c>
      <c r="CA89" s="146" t="str">
        <f t="shared" si="42"/>
        <v/>
      </c>
      <c r="CB89" s="146" t="str">
        <f t="shared" si="43"/>
        <v/>
      </c>
      <c r="CC89" s="146" t="str">
        <f>_xlfn.IFNA(IF(INDEX(Producer!$P:$P,MATCH($D89,Producer!$A:$A,0))="Help to Buy","Only available","No"),"")</f>
        <v/>
      </c>
      <c r="CD89" s="146" t="str">
        <f>_xlfn.IFNA(IF(INDEX(Producer!$P:$P,MATCH($D89,Producer!$A:$A,0))="Shared Ownership","Only available","No"),"")</f>
        <v/>
      </c>
      <c r="CE89" s="146" t="str">
        <f>_xlfn.IFNA(IF(INDEX(Producer!$P:$P,MATCH($D89,Producer!$A:$A,0))="Right to Buy","Only available","No"),"")</f>
        <v/>
      </c>
      <c r="CF89" s="146" t="str">
        <f t="shared" si="44"/>
        <v/>
      </c>
      <c r="CG89" s="146" t="str">
        <f>_xlfn.IFNA(IF(INDEX(Producer!$P:$P,MATCH($D89,Producer!$A:$A,0))="Retirement Interest Only","Only available","No"),"")</f>
        <v/>
      </c>
      <c r="CH89" s="146" t="str">
        <f t="shared" si="45"/>
        <v/>
      </c>
      <c r="CI89" s="146" t="str">
        <f>_xlfn.IFNA(IF(INDEX(Producer!$P:$P,MATCH($D89,Producer!$A:$A,0))="Intermediary Holiday Let","Only available","No"),"")</f>
        <v/>
      </c>
      <c r="CJ89" s="146" t="str">
        <f t="shared" si="46"/>
        <v/>
      </c>
      <c r="CK89" s="146" t="str">
        <f>_xlfn.IFNA(IF(OR(INDEX(Producer!$P:$P,MATCH($D89,Producer!$A:$A,0))="Intermediary Small HMO",INDEX(Producer!$P:$P,MATCH($D89,Producer!$A:$A,0))="Intermediary Large HMO"),"Only available","No"),"")</f>
        <v/>
      </c>
      <c r="CL89" s="146" t="str">
        <f t="shared" si="47"/>
        <v/>
      </c>
      <c r="CM89" s="146" t="str">
        <f t="shared" si="48"/>
        <v/>
      </c>
      <c r="CN89" s="146" t="str">
        <f t="shared" si="49"/>
        <v/>
      </c>
      <c r="CO89" s="146" t="str">
        <f t="shared" si="50"/>
        <v/>
      </c>
      <c r="CP89" s="146" t="str">
        <f t="shared" si="51"/>
        <v/>
      </c>
      <c r="CQ89" s="146" t="str">
        <f t="shared" si="52"/>
        <v/>
      </c>
      <c r="CR89" s="146" t="str">
        <f t="shared" si="53"/>
        <v/>
      </c>
      <c r="CS89" s="146" t="str">
        <f t="shared" si="54"/>
        <v/>
      </c>
      <c r="CT89" s="146" t="str">
        <f t="shared" si="55"/>
        <v/>
      </c>
      <c r="CU89" s="146"/>
    </row>
    <row r="90" spans="1:99" ht="16.399999999999999" customHeight="1" x14ac:dyDescent="0.35">
      <c r="A90" s="145" t="str">
        <f t="shared" si="28"/>
        <v/>
      </c>
      <c r="B90" s="145" t="str">
        <f>_xlfn.IFNA(_xlfn.CONCAT(INDEX(Producer!$P:$P,MATCH($D90,Producer!$A:$A,0))," ",IF(INDEX(Producer!$N:$N,MATCH($D90,Producer!$A:$A,0))="Yes","Green ",""),IF(AND(INDEX(Producer!$L:$L,MATCH($D90,Producer!$A:$A,0))="No",INDEX(Producer!$C:$C,MATCH($D90,Producer!$A:$A,0))="Fixed"),"Flexit ",""),INDEX(Producer!$B:$B,MATCH($D90,Producer!$A:$A,0))," Year ",INDEX(Producer!$C:$C,MATCH($D90,Producer!$A:$A,0))," ",VALUE(INDEX(Producer!$E:$E,MATCH($D90,Producer!$A:$A,0)))*100,"% LTV",IF(INDEX(Producer!$N:$N,MATCH($D90,Producer!$A:$A,0))="Yes"," (EPC A-C)","")," - ",IF(INDEX(Producer!$D:$D,MATCH($D90,Producer!$A:$A,0))="DLY","Daily","Annual")),"")</f>
        <v/>
      </c>
      <c r="C90" s="146" t="str">
        <f>_xlfn.IFNA(INDEX(Producer!$Q:$Q,MATCH($D90,Producer!$A:$A,0)),"")</f>
        <v/>
      </c>
      <c r="D90" s="146" t="str">
        <f>IFERROR(VALUE(MID(Producer!$R$2,IF($D89="",1/0,FIND(_xlfn.CONCAT($D88,$D89),Producer!$R$2)+10),5)),"")</f>
        <v/>
      </c>
      <c r="E90" s="146" t="str">
        <f t="shared" si="29"/>
        <v/>
      </c>
      <c r="F90" s="146"/>
      <c r="G90" s="147" t="str">
        <f>_xlfn.IFNA(VALUE(INDEX(Producer!$F:$F,MATCH($D90,Producer!$A:$A,0)))*100,"")</f>
        <v/>
      </c>
      <c r="H90" s="216" t="str">
        <f>_xlfn.IFNA(IFERROR(DATEVALUE(INDEX(Producer!$M:$M,MATCH($D90,Producer!$A:$A,0))),(INDEX(Producer!$M:$M,MATCH($D90,Producer!$A:$A,0)))),"")</f>
        <v/>
      </c>
      <c r="I90" s="217" t="str">
        <f>_xlfn.IFNA(VALUE(INDEX(Producer!$B:$B,MATCH($D90,Producer!$A:$A,0)))*12,"")</f>
        <v/>
      </c>
      <c r="J90" s="146" t="str">
        <f>_xlfn.IFNA(IF(C90="Residential",IF(VALUE(INDEX(Producer!$B:$B,MATCH($D90,Producer!$A:$A,0)))&lt;5,Constants!$C$10,""),IF(VALUE(INDEX(Producer!$B:$B,MATCH($D90,Producer!$A:$A,0)))&lt;5,Constants!$C$11,"")),"")</f>
        <v/>
      </c>
      <c r="K90" s="216" t="str">
        <f>_xlfn.IFNA(IF(($I90)&lt;60,DATE(YEAR(H90)+(5-VALUE(INDEX(Producer!$B:$B,MATCH($D90,Producer!$A:$A,0)))),MONTH(H90),DAY(H90)),""),"")</f>
        <v/>
      </c>
      <c r="L90" s="153" t="str">
        <f t="shared" si="30"/>
        <v/>
      </c>
      <c r="M90" s="146"/>
      <c r="N90" s="148"/>
      <c r="O90" s="148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 t="str">
        <f>IF(D90="","",IF(C90="Residential",Constants!$B$10,Constants!$B$11))</f>
        <v/>
      </c>
      <c r="AL90" s="146" t="str">
        <f t="shared" si="31"/>
        <v/>
      </c>
      <c r="AM90" s="206" t="str">
        <f t="shared" si="32"/>
        <v/>
      </c>
      <c r="AN90" s="146" t="str">
        <f t="shared" si="33"/>
        <v/>
      </c>
      <c r="AO90" s="149" t="str">
        <f t="shared" si="34"/>
        <v/>
      </c>
      <c r="AP90" s="150" t="str">
        <f t="shared" si="35"/>
        <v/>
      </c>
      <c r="AQ90" s="146" t="str">
        <f>IFERROR(_xlfn.IFNA(IF($BA90="No",0,IF(INDEX(Constants!B:B,MATCH(($I90/12),Constants!$A:$A,0))=0,0,INDEX(Constants!B:B,MATCH(($I90/12),Constants!$A:$A,0)))),0),"")</f>
        <v/>
      </c>
      <c r="AR90" s="146" t="str">
        <f>IFERROR(_xlfn.IFNA(IF($BA90="No",0,IF(INDEX(Constants!C:C,MATCH(($I90/12),Constants!$A:$A,0))=0,0,INDEX(Constants!C:C,MATCH(($I90/12),Constants!$A:$A,0)))),0),"")</f>
        <v/>
      </c>
      <c r="AS90" s="146" t="str">
        <f>IFERROR(_xlfn.IFNA(IF($BA90="No",0,IF(INDEX(Constants!D:D,MATCH(($I90/12),Constants!$A:$A,0))=0,0,INDEX(Constants!D:D,MATCH(($I90/12),Constants!$A:$A,0)))),0),"")</f>
        <v/>
      </c>
      <c r="AT90" s="146" t="str">
        <f>IFERROR(_xlfn.IFNA(IF($BA90="No",0,IF(INDEX(Constants!E:E,MATCH(($I90/12),Constants!$A:$A,0))=0,0,INDEX(Constants!E:E,MATCH(($I90/12),Constants!$A:$A,0)))),0),"")</f>
        <v/>
      </c>
      <c r="AU90" s="146" t="str">
        <f>IFERROR(_xlfn.IFNA(IF($BA90="No",0,IF(INDEX(Constants!F:F,MATCH(($I90/12),Constants!$A:$A,0))=0,0,INDEX(Constants!F:F,MATCH(($I90/12),Constants!$A:$A,0)))),0),"")</f>
        <v/>
      </c>
      <c r="AV90" s="146" t="str">
        <f>IFERROR(_xlfn.IFNA(IF($BA90="No",0,IF(INDEX(Constants!G:G,MATCH(($I90/12),Constants!$A:$A,0))=0,0,INDEX(Constants!G:G,MATCH(($I90/12),Constants!$A:$A,0)))),0),"")</f>
        <v/>
      </c>
      <c r="AW90" s="146" t="str">
        <f>IFERROR(_xlfn.IFNA(IF($BA90="No",0,IF(INDEX(Constants!H:H,MATCH(($I90/12),Constants!$A:$A,0))=0,0,INDEX(Constants!H:H,MATCH(($I90/12),Constants!$A:$A,0)))),0),"")</f>
        <v/>
      </c>
      <c r="AX90" s="146" t="str">
        <f>IFERROR(_xlfn.IFNA(IF($BA90="No",0,IF(INDEX(Constants!I:I,MATCH(($I90/12),Constants!$A:$A,0))=0,0,INDEX(Constants!I:I,MATCH(($I90/12),Constants!$A:$A,0)))),0),"")</f>
        <v/>
      </c>
      <c r="AY90" s="146" t="str">
        <f>IFERROR(_xlfn.IFNA(IF($BA90="No",0,IF(INDEX(Constants!J:J,MATCH(($I90/12),Constants!$A:$A,0))=0,0,INDEX(Constants!J:J,MATCH(($I90/12),Constants!$A:$A,0)))),0),"")</f>
        <v/>
      </c>
      <c r="AZ90" s="146" t="str">
        <f>IFERROR(_xlfn.IFNA(IF($BA90="No",0,IF(INDEX(Constants!K:K,MATCH(($I90/12),Constants!$A:$A,0))=0,0,INDEX(Constants!K:K,MATCH(($I90/12),Constants!$A:$A,0)))),0),"")</f>
        <v/>
      </c>
      <c r="BA90" s="147" t="str">
        <f>_xlfn.IFNA(INDEX(Producer!$L:$L,MATCH($D90,Producer!$A:$A,0)),"")</f>
        <v/>
      </c>
      <c r="BB90" s="146" t="str">
        <f>IFERROR(IF(AQ90=0,"",IF(($I90/12)=15,_xlfn.CONCAT(Constants!$N$7,TEXT(DATE(YEAR(H90)-(($I90/12)-3),MONTH(H90),DAY(H90)),"dd/mm/yyyy"),", ",Constants!$P$7,TEXT(DATE(YEAR(H90)-(($I90/12)-8),MONTH(H90),DAY(H90)),"dd/mm/yyyy"),", ",Constants!$T$7,TEXT(DATE(YEAR(H90)-(($I90/12)-11),MONTH(H90),DAY(H90)),"dd/mm/yyyy"),", ",Constants!$V$7,TEXT(DATE(YEAR(H90)-(($I90/12)-13),MONTH(H90),DAY(H90)),"dd/mm/yyyy"),", ",Constants!$W$7,TEXT($H90,"dd/mm/yyyy")),IF(($I90/12)=10,_xlfn.CONCAT(Constants!$N$6,TEXT(DATE(YEAR(H90)-(($I90/12)-2),MONTH(H90),DAY(H90)),"dd/mm/yyyy"),", ",Constants!$P$6,TEXT(DATE(YEAR(H90)-(($I90/12)-6),MONTH(H90),DAY(H90)),"dd/mm/yyyy"),", ",Constants!$T$6,TEXT(DATE(YEAR(H90)-(($I90/12)-8),MONTH(H90),DAY(H90)),"dd/mm/yyyy"),", ",Constants!$V$6,TEXT(DATE(YEAR(H90)-(($I90/12)-9),MONTH(H90),DAY(H90)),"dd/mm/yyyy"),", ",Constants!$W$6,TEXT($H90,"dd/mm/yyyy")),IF(($I90/12)=5,_xlfn.CONCAT(Constants!$N$5,TEXT(DATE(YEAR(H90)-(($I90/12)-1),MONTH(H90),DAY(H90)),"dd/mm/yyyy"),", ",Constants!$O$5,TEXT(DATE(YEAR(H90)-(($I90/12)-2),MONTH(H90),DAY(H90)),"dd/mm/yyyy"),", ",Constants!$P$5,TEXT(DATE(YEAR(H90)-(($I90/12)-3),MONTH(H90),DAY(H90)),"dd/mm/yyyy"),", ",Constants!$Q$5,TEXT(DATE(YEAR(H90)-(($I90/12)-4),MONTH(H90),DAY(H90)),"dd/mm/yyyy"),", ",Constants!$R$5,TEXT($H90,"dd/mm/yyyy")),IF(($I90/12)=3,_xlfn.CONCAT(Constants!$N$4,TEXT(DATE(YEAR(H90)-(($I90/12)-1),MONTH(H90),DAY(H90)),"dd/mm/yyyy"),", ",Constants!$O$4,TEXT(DATE(YEAR(H90)-(($I90/12)-2),MONTH(H90),DAY(H90)),"dd/mm/yyyy"),", ",Constants!$P$4,TEXT($H90,"dd/mm/yyyy")),IF(($I90/12)=2,_xlfn.CONCAT(Constants!$N$3,TEXT(DATE(YEAR(H90)-(($I90/12)-1),MONTH(H90),DAY(H90)),"dd/mm/yyyy"),", ",Constants!$O$3,TEXT($H90,"dd/mm/yyyy")),IF(($I90/12)=1,_xlfn.CONCAT(Constants!$N$2,TEXT($H90,"dd/mm/yyyy")),"Update Constants"))))))),"")</f>
        <v/>
      </c>
      <c r="BC90" s="147" t="str">
        <f>_xlfn.IFNA(VALUE(INDEX(Producer!$K:$K,MATCH($D90,Producer!$A:$A,0))),"")</f>
        <v/>
      </c>
      <c r="BD90" s="147" t="str">
        <f>_xlfn.IFNA(INDEX(Producer!$I:$I,MATCH($D90,Producer!$A:$A,0)),"")</f>
        <v/>
      </c>
      <c r="BE90" s="147" t="str">
        <f t="shared" si="36"/>
        <v/>
      </c>
      <c r="BF90" s="147"/>
      <c r="BG90" s="147"/>
      <c r="BH90" s="151" t="str">
        <f>_xlfn.IFNA(INDEX(Constants!$B:$B,MATCH(BC90,Constants!A:A,0)),"")</f>
        <v/>
      </c>
      <c r="BI90" s="147" t="str">
        <f>IF(LEFT(B90,15)="Limited Company",Constants!$D$16,IFERROR(_xlfn.IFNA(IF(C90="Residential",IF(BK90&lt;75,INDEX(Constants!$B:$B,MATCH(VALUE(60)/100,Constants!$A:$A,0)),INDEX(Constants!$B:$B,MATCH(VALUE(BK90)/100,Constants!$A:$A,0))),IF(BK90&lt;60,INDEX(Constants!$C:$C,MATCH(VALUE(60)/100,Constants!$A:$A,0)),INDEX(Constants!$C:$C,MATCH(VALUE(BK90)/100,Constants!$A:$A,0)))),""),""))</f>
        <v/>
      </c>
      <c r="BJ90" s="147" t="str">
        <f t="shared" si="37"/>
        <v/>
      </c>
      <c r="BK90" s="147" t="str">
        <f>_xlfn.IFNA(VALUE(INDEX(Producer!$E:$E,MATCH($D90,Producer!$A:$A,0)))*100,"")</f>
        <v/>
      </c>
      <c r="BL90" s="146" t="str">
        <f>_xlfn.IFNA(IF(IFERROR(FIND("Part &amp; Part",B90),-10)&gt;0,"PP",IF(OR(LEFT(B90,25)="Residential Interest Only",INDEX(Producer!$P:$P,MATCH($D90,Producer!$A:$A,0))="IO",INDEX(Producer!$P:$P,MATCH($D90,Producer!$A:$A,0))="Retirement Interest Only"),"IO",IF($C90="BuyToLet","CI, IO","CI"))),"")</f>
        <v/>
      </c>
      <c r="BM90" s="152" t="str">
        <f>_xlfn.IFNA(IF(BL90="IO",100%,IF(AND(INDEX(Producer!$P:$P,MATCH($D90,Producer!$A:$A,0))="Residential Interest Only Part &amp; Part",BK90=75),80%,IF(C90="BuyToLet",100%,IF(BL90="Interest Only",100%,IF(AND(INDEX(Producer!$P:$P,MATCH($D90,Producer!$A:$A,0))="Residential Interest Only Part &amp; Part",BK90=60),100%,""))))),"")</f>
        <v/>
      </c>
      <c r="BN90" s="218" t="str">
        <f>_xlfn.IFNA(IF(VALUE(INDEX(Producer!$H:$H,MATCH($D90,Producer!$A:$A,0)))=0,"",VALUE(INDEX(Producer!$H:$H,MATCH($D90,Producer!$A:$A,0)))),"")</f>
        <v/>
      </c>
      <c r="BO90" s="153"/>
      <c r="BP90" s="153"/>
      <c r="BQ90" s="219" t="str">
        <f t="shared" si="38"/>
        <v/>
      </c>
      <c r="BR90" s="146"/>
      <c r="BS90" s="146"/>
      <c r="BT90" s="146"/>
      <c r="BU90" s="146"/>
      <c r="BV90" s="219" t="str">
        <f t="shared" si="39"/>
        <v/>
      </c>
      <c r="BW90" s="146"/>
      <c r="BX90" s="146"/>
      <c r="BY90" s="146" t="str">
        <f t="shared" si="40"/>
        <v/>
      </c>
      <c r="BZ90" s="146" t="str">
        <f t="shared" si="41"/>
        <v/>
      </c>
      <c r="CA90" s="146" t="str">
        <f t="shared" si="42"/>
        <v/>
      </c>
      <c r="CB90" s="146" t="str">
        <f t="shared" si="43"/>
        <v/>
      </c>
      <c r="CC90" s="146" t="str">
        <f>_xlfn.IFNA(IF(INDEX(Producer!$P:$P,MATCH($D90,Producer!$A:$A,0))="Help to Buy","Only available","No"),"")</f>
        <v/>
      </c>
      <c r="CD90" s="146" t="str">
        <f>_xlfn.IFNA(IF(INDEX(Producer!$P:$P,MATCH($D90,Producer!$A:$A,0))="Shared Ownership","Only available","No"),"")</f>
        <v/>
      </c>
      <c r="CE90" s="146" t="str">
        <f>_xlfn.IFNA(IF(INDEX(Producer!$P:$P,MATCH($D90,Producer!$A:$A,0))="Right to Buy","Only available","No"),"")</f>
        <v/>
      </c>
      <c r="CF90" s="146" t="str">
        <f t="shared" si="44"/>
        <v/>
      </c>
      <c r="CG90" s="146" t="str">
        <f>_xlfn.IFNA(IF(INDEX(Producer!$P:$P,MATCH($D90,Producer!$A:$A,0))="Retirement Interest Only","Only available","No"),"")</f>
        <v/>
      </c>
      <c r="CH90" s="146" t="str">
        <f t="shared" si="45"/>
        <v/>
      </c>
      <c r="CI90" s="146" t="str">
        <f>_xlfn.IFNA(IF(INDEX(Producer!$P:$P,MATCH($D90,Producer!$A:$A,0))="Intermediary Holiday Let","Only available","No"),"")</f>
        <v/>
      </c>
      <c r="CJ90" s="146" t="str">
        <f t="shared" si="46"/>
        <v/>
      </c>
      <c r="CK90" s="146" t="str">
        <f>_xlfn.IFNA(IF(OR(INDEX(Producer!$P:$P,MATCH($D90,Producer!$A:$A,0))="Intermediary Small HMO",INDEX(Producer!$P:$P,MATCH($D90,Producer!$A:$A,0))="Intermediary Large HMO"),"Only available","No"),"")</f>
        <v/>
      </c>
      <c r="CL90" s="146" t="str">
        <f t="shared" si="47"/>
        <v/>
      </c>
      <c r="CM90" s="146" t="str">
        <f t="shared" si="48"/>
        <v/>
      </c>
      <c r="CN90" s="146" t="str">
        <f t="shared" si="49"/>
        <v/>
      </c>
      <c r="CO90" s="146" t="str">
        <f t="shared" si="50"/>
        <v/>
      </c>
      <c r="CP90" s="146" t="str">
        <f t="shared" si="51"/>
        <v/>
      </c>
      <c r="CQ90" s="146" t="str">
        <f t="shared" si="52"/>
        <v/>
      </c>
      <c r="CR90" s="146" t="str">
        <f t="shared" si="53"/>
        <v/>
      </c>
      <c r="CS90" s="146" t="str">
        <f t="shared" si="54"/>
        <v/>
      </c>
      <c r="CT90" s="146" t="str">
        <f t="shared" si="55"/>
        <v/>
      </c>
      <c r="CU90" s="146"/>
    </row>
    <row r="91" spans="1:99" ht="16.399999999999999" customHeight="1" x14ac:dyDescent="0.35">
      <c r="A91" s="145" t="str">
        <f t="shared" si="28"/>
        <v/>
      </c>
      <c r="B91" s="145" t="str">
        <f>_xlfn.IFNA(_xlfn.CONCAT(INDEX(Producer!$P:$P,MATCH($D91,Producer!$A:$A,0))," ",IF(INDEX(Producer!$N:$N,MATCH($D91,Producer!$A:$A,0))="Yes","Green ",""),IF(AND(INDEX(Producer!$L:$L,MATCH($D91,Producer!$A:$A,0))="No",INDEX(Producer!$C:$C,MATCH($D91,Producer!$A:$A,0))="Fixed"),"Flexit ",""),INDEX(Producer!$B:$B,MATCH($D91,Producer!$A:$A,0))," Year ",INDEX(Producer!$C:$C,MATCH($D91,Producer!$A:$A,0))," ",VALUE(INDEX(Producer!$E:$E,MATCH($D91,Producer!$A:$A,0)))*100,"% LTV",IF(INDEX(Producer!$N:$N,MATCH($D91,Producer!$A:$A,0))="Yes"," (EPC A-C)","")," - ",IF(INDEX(Producer!$D:$D,MATCH($D91,Producer!$A:$A,0))="DLY","Daily","Annual")),"")</f>
        <v/>
      </c>
      <c r="C91" s="146" t="str">
        <f>_xlfn.IFNA(INDEX(Producer!$Q:$Q,MATCH($D91,Producer!$A:$A,0)),"")</f>
        <v/>
      </c>
      <c r="D91" s="146" t="str">
        <f>IFERROR(VALUE(MID(Producer!$R$2,IF($D90="",1/0,FIND(_xlfn.CONCAT($D89,$D90),Producer!$R$2)+10),5)),"")</f>
        <v/>
      </c>
      <c r="E91" s="146" t="str">
        <f t="shared" si="29"/>
        <v/>
      </c>
      <c r="F91" s="146"/>
      <c r="G91" s="147" t="str">
        <f>_xlfn.IFNA(VALUE(INDEX(Producer!$F:$F,MATCH($D91,Producer!$A:$A,0)))*100,"")</f>
        <v/>
      </c>
      <c r="H91" s="216" t="str">
        <f>_xlfn.IFNA(IFERROR(DATEVALUE(INDEX(Producer!$M:$M,MATCH($D91,Producer!$A:$A,0))),(INDEX(Producer!$M:$M,MATCH($D91,Producer!$A:$A,0)))),"")</f>
        <v/>
      </c>
      <c r="I91" s="217" t="str">
        <f>_xlfn.IFNA(VALUE(INDEX(Producer!$B:$B,MATCH($D91,Producer!$A:$A,0)))*12,"")</f>
        <v/>
      </c>
      <c r="J91" s="146" t="str">
        <f>_xlfn.IFNA(IF(C91="Residential",IF(VALUE(INDEX(Producer!$B:$B,MATCH($D91,Producer!$A:$A,0)))&lt;5,Constants!$C$10,""),IF(VALUE(INDEX(Producer!$B:$B,MATCH($D91,Producer!$A:$A,0)))&lt;5,Constants!$C$11,"")),"")</f>
        <v/>
      </c>
      <c r="K91" s="216" t="str">
        <f>_xlfn.IFNA(IF(($I91)&lt;60,DATE(YEAR(H91)+(5-VALUE(INDEX(Producer!$B:$B,MATCH($D91,Producer!$A:$A,0)))),MONTH(H91),DAY(H91)),""),"")</f>
        <v/>
      </c>
      <c r="L91" s="153" t="str">
        <f t="shared" si="30"/>
        <v/>
      </c>
      <c r="M91" s="146"/>
      <c r="N91" s="148"/>
      <c r="O91" s="148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 t="str">
        <f>IF(D91="","",IF(C91="Residential",Constants!$B$10,Constants!$B$11))</f>
        <v/>
      </c>
      <c r="AL91" s="146" t="str">
        <f t="shared" si="31"/>
        <v/>
      </c>
      <c r="AM91" s="206" t="str">
        <f t="shared" si="32"/>
        <v/>
      </c>
      <c r="AN91" s="146" t="str">
        <f t="shared" si="33"/>
        <v/>
      </c>
      <c r="AO91" s="149" t="str">
        <f t="shared" si="34"/>
        <v/>
      </c>
      <c r="AP91" s="150" t="str">
        <f t="shared" si="35"/>
        <v/>
      </c>
      <c r="AQ91" s="146" t="str">
        <f>IFERROR(_xlfn.IFNA(IF($BA91="No",0,IF(INDEX(Constants!B:B,MATCH(($I91/12),Constants!$A:$A,0))=0,0,INDEX(Constants!B:B,MATCH(($I91/12),Constants!$A:$A,0)))),0),"")</f>
        <v/>
      </c>
      <c r="AR91" s="146" t="str">
        <f>IFERROR(_xlfn.IFNA(IF($BA91="No",0,IF(INDEX(Constants!C:C,MATCH(($I91/12),Constants!$A:$A,0))=0,0,INDEX(Constants!C:C,MATCH(($I91/12),Constants!$A:$A,0)))),0),"")</f>
        <v/>
      </c>
      <c r="AS91" s="146" t="str">
        <f>IFERROR(_xlfn.IFNA(IF($BA91="No",0,IF(INDEX(Constants!D:D,MATCH(($I91/12),Constants!$A:$A,0))=0,0,INDEX(Constants!D:D,MATCH(($I91/12),Constants!$A:$A,0)))),0),"")</f>
        <v/>
      </c>
      <c r="AT91" s="146" t="str">
        <f>IFERROR(_xlfn.IFNA(IF($BA91="No",0,IF(INDEX(Constants!E:E,MATCH(($I91/12),Constants!$A:$A,0))=0,0,INDEX(Constants!E:E,MATCH(($I91/12),Constants!$A:$A,0)))),0),"")</f>
        <v/>
      </c>
      <c r="AU91" s="146" t="str">
        <f>IFERROR(_xlfn.IFNA(IF($BA91="No",0,IF(INDEX(Constants!F:F,MATCH(($I91/12),Constants!$A:$A,0))=0,0,INDEX(Constants!F:F,MATCH(($I91/12),Constants!$A:$A,0)))),0),"")</f>
        <v/>
      </c>
      <c r="AV91" s="146" t="str">
        <f>IFERROR(_xlfn.IFNA(IF($BA91="No",0,IF(INDEX(Constants!G:G,MATCH(($I91/12),Constants!$A:$A,0))=0,0,INDEX(Constants!G:G,MATCH(($I91/12),Constants!$A:$A,0)))),0),"")</f>
        <v/>
      </c>
      <c r="AW91" s="146" t="str">
        <f>IFERROR(_xlfn.IFNA(IF($BA91="No",0,IF(INDEX(Constants!H:H,MATCH(($I91/12),Constants!$A:$A,0))=0,0,INDEX(Constants!H:H,MATCH(($I91/12),Constants!$A:$A,0)))),0),"")</f>
        <v/>
      </c>
      <c r="AX91" s="146" t="str">
        <f>IFERROR(_xlfn.IFNA(IF($BA91="No",0,IF(INDEX(Constants!I:I,MATCH(($I91/12),Constants!$A:$A,0))=0,0,INDEX(Constants!I:I,MATCH(($I91/12),Constants!$A:$A,0)))),0),"")</f>
        <v/>
      </c>
      <c r="AY91" s="146" t="str">
        <f>IFERROR(_xlfn.IFNA(IF($BA91="No",0,IF(INDEX(Constants!J:J,MATCH(($I91/12),Constants!$A:$A,0))=0,0,INDEX(Constants!J:J,MATCH(($I91/12),Constants!$A:$A,0)))),0),"")</f>
        <v/>
      </c>
      <c r="AZ91" s="146" t="str">
        <f>IFERROR(_xlfn.IFNA(IF($BA91="No",0,IF(INDEX(Constants!K:K,MATCH(($I91/12),Constants!$A:$A,0))=0,0,INDEX(Constants!K:K,MATCH(($I91/12),Constants!$A:$A,0)))),0),"")</f>
        <v/>
      </c>
      <c r="BA91" s="147" t="str">
        <f>_xlfn.IFNA(INDEX(Producer!$L:$L,MATCH($D91,Producer!$A:$A,0)),"")</f>
        <v/>
      </c>
      <c r="BB91" s="146" t="str">
        <f>IFERROR(IF(AQ91=0,"",IF(($I91/12)=15,_xlfn.CONCAT(Constants!$N$7,TEXT(DATE(YEAR(H91)-(($I91/12)-3),MONTH(H91),DAY(H91)),"dd/mm/yyyy"),", ",Constants!$P$7,TEXT(DATE(YEAR(H91)-(($I91/12)-8),MONTH(H91),DAY(H91)),"dd/mm/yyyy"),", ",Constants!$T$7,TEXT(DATE(YEAR(H91)-(($I91/12)-11),MONTH(H91),DAY(H91)),"dd/mm/yyyy"),", ",Constants!$V$7,TEXT(DATE(YEAR(H91)-(($I91/12)-13),MONTH(H91),DAY(H91)),"dd/mm/yyyy"),", ",Constants!$W$7,TEXT($H91,"dd/mm/yyyy")),IF(($I91/12)=10,_xlfn.CONCAT(Constants!$N$6,TEXT(DATE(YEAR(H91)-(($I91/12)-2),MONTH(H91),DAY(H91)),"dd/mm/yyyy"),", ",Constants!$P$6,TEXT(DATE(YEAR(H91)-(($I91/12)-6),MONTH(H91),DAY(H91)),"dd/mm/yyyy"),", ",Constants!$T$6,TEXT(DATE(YEAR(H91)-(($I91/12)-8),MONTH(H91),DAY(H91)),"dd/mm/yyyy"),", ",Constants!$V$6,TEXT(DATE(YEAR(H91)-(($I91/12)-9),MONTH(H91),DAY(H91)),"dd/mm/yyyy"),", ",Constants!$W$6,TEXT($H91,"dd/mm/yyyy")),IF(($I91/12)=5,_xlfn.CONCAT(Constants!$N$5,TEXT(DATE(YEAR(H91)-(($I91/12)-1),MONTH(H91),DAY(H91)),"dd/mm/yyyy"),", ",Constants!$O$5,TEXT(DATE(YEAR(H91)-(($I91/12)-2),MONTH(H91),DAY(H91)),"dd/mm/yyyy"),", ",Constants!$P$5,TEXT(DATE(YEAR(H91)-(($I91/12)-3),MONTH(H91),DAY(H91)),"dd/mm/yyyy"),", ",Constants!$Q$5,TEXT(DATE(YEAR(H91)-(($I91/12)-4),MONTH(H91),DAY(H91)),"dd/mm/yyyy"),", ",Constants!$R$5,TEXT($H91,"dd/mm/yyyy")),IF(($I91/12)=3,_xlfn.CONCAT(Constants!$N$4,TEXT(DATE(YEAR(H91)-(($I91/12)-1),MONTH(H91),DAY(H91)),"dd/mm/yyyy"),", ",Constants!$O$4,TEXT(DATE(YEAR(H91)-(($I91/12)-2),MONTH(H91),DAY(H91)),"dd/mm/yyyy"),", ",Constants!$P$4,TEXT($H91,"dd/mm/yyyy")),IF(($I91/12)=2,_xlfn.CONCAT(Constants!$N$3,TEXT(DATE(YEAR(H91)-(($I91/12)-1),MONTH(H91),DAY(H91)),"dd/mm/yyyy"),", ",Constants!$O$3,TEXT($H91,"dd/mm/yyyy")),IF(($I91/12)=1,_xlfn.CONCAT(Constants!$N$2,TEXT($H91,"dd/mm/yyyy")),"Update Constants"))))))),"")</f>
        <v/>
      </c>
      <c r="BC91" s="147" t="str">
        <f>_xlfn.IFNA(VALUE(INDEX(Producer!$K:$K,MATCH($D91,Producer!$A:$A,0))),"")</f>
        <v/>
      </c>
      <c r="BD91" s="147" t="str">
        <f>_xlfn.IFNA(INDEX(Producer!$I:$I,MATCH($D91,Producer!$A:$A,0)),"")</f>
        <v/>
      </c>
      <c r="BE91" s="147" t="str">
        <f t="shared" si="36"/>
        <v/>
      </c>
      <c r="BF91" s="147"/>
      <c r="BG91" s="147"/>
      <c r="BH91" s="151" t="str">
        <f>_xlfn.IFNA(INDEX(Constants!$B:$B,MATCH(BC91,Constants!A:A,0)),"")</f>
        <v/>
      </c>
      <c r="BI91" s="147" t="str">
        <f>IF(LEFT(B91,15)="Limited Company",Constants!$D$16,IFERROR(_xlfn.IFNA(IF(C91="Residential",IF(BK91&lt;75,INDEX(Constants!$B:$B,MATCH(VALUE(60)/100,Constants!$A:$A,0)),INDEX(Constants!$B:$B,MATCH(VALUE(BK91)/100,Constants!$A:$A,0))),IF(BK91&lt;60,INDEX(Constants!$C:$C,MATCH(VALUE(60)/100,Constants!$A:$A,0)),INDEX(Constants!$C:$C,MATCH(VALUE(BK91)/100,Constants!$A:$A,0)))),""),""))</f>
        <v/>
      </c>
      <c r="BJ91" s="147" t="str">
        <f t="shared" si="37"/>
        <v/>
      </c>
      <c r="BK91" s="147" t="str">
        <f>_xlfn.IFNA(VALUE(INDEX(Producer!$E:$E,MATCH($D91,Producer!$A:$A,0)))*100,"")</f>
        <v/>
      </c>
      <c r="BL91" s="146" t="str">
        <f>_xlfn.IFNA(IF(IFERROR(FIND("Part &amp; Part",B91),-10)&gt;0,"PP",IF(OR(LEFT(B91,25)="Residential Interest Only",INDEX(Producer!$P:$P,MATCH($D91,Producer!$A:$A,0))="IO",INDEX(Producer!$P:$P,MATCH($D91,Producer!$A:$A,0))="Retirement Interest Only"),"IO",IF($C91="BuyToLet","CI, IO","CI"))),"")</f>
        <v/>
      </c>
      <c r="BM91" s="152" t="str">
        <f>_xlfn.IFNA(IF(BL91="IO",100%,IF(AND(INDEX(Producer!$P:$P,MATCH($D91,Producer!$A:$A,0))="Residential Interest Only Part &amp; Part",BK91=75),80%,IF(C91="BuyToLet",100%,IF(BL91="Interest Only",100%,IF(AND(INDEX(Producer!$P:$P,MATCH($D91,Producer!$A:$A,0))="Residential Interest Only Part &amp; Part",BK91=60),100%,""))))),"")</f>
        <v/>
      </c>
      <c r="BN91" s="218" t="str">
        <f>_xlfn.IFNA(IF(VALUE(INDEX(Producer!$H:$H,MATCH($D91,Producer!$A:$A,0)))=0,"",VALUE(INDEX(Producer!$H:$H,MATCH($D91,Producer!$A:$A,0)))),"")</f>
        <v/>
      </c>
      <c r="BO91" s="153"/>
      <c r="BP91" s="153"/>
      <c r="BQ91" s="219" t="str">
        <f t="shared" si="38"/>
        <v/>
      </c>
      <c r="BR91" s="146"/>
      <c r="BS91" s="146"/>
      <c r="BT91" s="146"/>
      <c r="BU91" s="146"/>
      <c r="BV91" s="219" t="str">
        <f t="shared" si="39"/>
        <v/>
      </c>
      <c r="BW91" s="146"/>
      <c r="BX91" s="146"/>
      <c r="BY91" s="146" t="str">
        <f t="shared" si="40"/>
        <v/>
      </c>
      <c r="BZ91" s="146" t="str">
        <f t="shared" si="41"/>
        <v/>
      </c>
      <c r="CA91" s="146" t="str">
        <f t="shared" si="42"/>
        <v/>
      </c>
      <c r="CB91" s="146" t="str">
        <f t="shared" si="43"/>
        <v/>
      </c>
      <c r="CC91" s="146" t="str">
        <f>_xlfn.IFNA(IF(INDEX(Producer!$P:$P,MATCH($D91,Producer!$A:$A,0))="Help to Buy","Only available","No"),"")</f>
        <v/>
      </c>
      <c r="CD91" s="146" t="str">
        <f>_xlfn.IFNA(IF(INDEX(Producer!$P:$P,MATCH($D91,Producer!$A:$A,0))="Shared Ownership","Only available","No"),"")</f>
        <v/>
      </c>
      <c r="CE91" s="146" t="str">
        <f>_xlfn.IFNA(IF(INDEX(Producer!$P:$P,MATCH($D91,Producer!$A:$A,0))="Right to Buy","Only available","No"),"")</f>
        <v/>
      </c>
      <c r="CF91" s="146" t="str">
        <f t="shared" si="44"/>
        <v/>
      </c>
      <c r="CG91" s="146" t="str">
        <f>_xlfn.IFNA(IF(INDEX(Producer!$P:$P,MATCH($D91,Producer!$A:$A,0))="Retirement Interest Only","Only available","No"),"")</f>
        <v/>
      </c>
      <c r="CH91" s="146" t="str">
        <f t="shared" si="45"/>
        <v/>
      </c>
      <c r="CI91" s="146" t="str">
        <f>_xlfn.IFNA(IF(INDEX(Producer!$P:$P,MATCH($D91,Producer!$A:$A,0))="Intermediary Holiday Let","Only available","No"),"")</f>
        <v/>
      </c>
      <c r="CJ91" s="146" t="str">
        <f t="shared" si="46"/>
        <v/>
      </c>
      <c r="CK91" s="146" t="str">
        <f>_xlfn.IFNA(IF(OR(INDEX(Producer!$P:$P,MATCH($D91,Producer!$A:$A,0))="Intermediary Small HMO",INDEX(Producer!$P:$P,MATCH($D91,Producer!$A:$A,0))="Intermediary Large HMO"),"Only available","No"),"")</f>
        <v/>
      </c>
      <c r="CL91" s="146" t="str">
        <f t="shared" si="47"/>
        <v/>
      </c>
      <c r="CM91" s="146" t="str">
        <f t="shared" si="48"/>
        <v/>
      </c>
      <c r="CN91" s="146" t="str">
        <f t="shared" si="49"/>
        <v/>
      </c>
      <c r="CO91" s="146" t="str">
        <f t="shared" si="50"/>
        <v/>
      </c>
      <c r="CP91" s="146" t="str">
        <f t="shared" si="51"/>
        <v/>
      </c>
      <c r="CQ91" s="146" t="str">
        <f t="shared" si="52"/>
        <v/>
      </c>
      <c r="CR91" s="146" t="str">
        <f t="shared" si="53"/>
        <v/>
      </c>
      <c r="CS91" s="146" t="str">
        <f t="shared" si="54"/>
        <v/>
      </c>
      <c r="CT91" s="146" t="str">
        <f t="shared" si="55"/>
        <v/>
      </c>
      <c r="CU91" s="146"/>
    </row>
    <row r="92" spans="1:99" ht="16.399999999999999" customHeight="1" x14ac:dyDescent="0.35">
      <c r="A92" s="145" t="str">
        <f t="shared" si="28"/>
        <v/>
      </c>
      <c r="B92" s="145" t="str">
        <f>_xlfn.IFNA(_xlfn.CONCAT(INDEX(Producer!$P:$P,MATCH($D92,Producer!$A:$A,0))," ",IF(INDEX(Producer!$N:$N,MATCH($D92,Producer!$A:$A,0))="Yes","Green ",""),IF(AND(INDEX(Producer!$L:$L,MATCH($D92,Producer!$A:$A,0))="No",INDEX(Producer!$C:$C,MATCH($D92,Producer!$A:$A,0))="Fixed"),"Flexit ",""),INDEX(Producer!$B:$B,MATCH($D92,Producer!$A:$A,0))," Year ",INDEX(Producer!$C:$C,MATCH($D92,Producer!$A:$A,0))," ",VALUE(INDEX(Producer!$E:$E,MATCH($D92,Producer!$A:$A,0)))*100,"% LTV",IF(INDEX(Producer!$N:$N,MATCH($D92,Producer!$A:$A,0))="Yes"," (EPC A-C)","")," - ",IF(INDEX(Producer!$D:$D,MATCH($D92,Producer!$A:$A,0))="DLY","Daily","Annual")),"")</f>
        <v/>
      </c>
      <c r="C92" s="146" t="str">
        <f>_xlfn.IFNA(INDEX(Producer!$Q:$Q,MATCH($D92,Producer!$A:$A,0)),"")</f>
        <v/>
      </c>
      <c r="D92" s="146" t="str">
        <f>IFERROR(VALUE(MID(Producer!$R$2,IF($D91="",1/0,FIND(_xlfn.CONCAT($D90,$D91),Producer!$R$2)+10),5)),"")</f>
        <v/>
      </c>
      <c r="E92" s="146" t="str">
        <f t="shared" si="29"/>
        <v/>
      </c>
      <c r="F92" s="146"/>
      <c r="G92" s="147" t="str">
        <f>_xlfn.IFNA(VALUE(INDEX(Producer!$F:$F,MATCH($D92,Producer!$A:$A,0)))*100,"")</f>
        <v/>
      </c>
      <c r="H92" s="216" t="str">
        <f>_xlfn.IFNA(IFERROR(DATEVALUE(INDEX(Producer!$M:$M,MATCH($D92,Producer!$A:$A,0))),(INDEX(Producer!$M:$M,MATCH($D92,Producer!$A:$A,0)))),"")</f>
        <v/>
      </c>
      <c r="I92" s="217" t="str">
        <f>_xlfn.IFNA(VALUE(INDEX(Producer!$B:$B,MATCH($D92,Producer!$A:$A,0)))*12,"")</f>
        <v/>
      </c>
      <c r="J92" s="146" t="str">
        <f>_xlfn.IFNA(IF(C92="Residential",IF(VALUE(INDEX(Producer!$B:$B,MATCH($D92,Producer!$A:$A,0)))&lt;5,Constants!$C$10,""),IF(VALUE(INDEX(Producer!$B:$B,MATCH($D92,Producer!$A:$A,0)))&lt;5,Constants!$C$11,"")),"")</f>
        <v/>
      </c>
      <c r="K92" s="216" t="str">
        <f>_xlfn.IFNA(IF(($I92)&lt;60,DATE(YEAR(H92)+(5-VALUE(INDEX(Producer!$B:$B,MATCH($D92,Producer!$A:$A,0)))),MONTH(H92),DAY(H92)),""),"")</f>
        <v/>
      </c>
      <c r="L92" s="153" t="str">
        <f t="shared" si="30"/>
        <v/>
      </c>
      <c r="M92" s="146"/>
      <c r="N92" s="148"/>
      <c r="O92" s="148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 t="str">
        <f>IF(D92="","",IF(C92="Residential",Constants!$B$10,Constants!$B$11))</f>
        <v/>
      </c>
      <c r="AL92" s="146" t="str">
        <f t="shared" si="31"/>
        <v/>
      </c>
      <c r="AM92" s="206" t="str">
        <f t="shared" si="32"/>
        <v/>
      </c>
      <c r="AN92" s="146" t="str">
        <f t="shared" si="33"/>
        <v/>
      </c>
      <c r="AO92" s="149" t="str">
        <f t="shared" si="34"/>
        <v/>
      </c>
      <c r="AP92" s="150" t="str">
        <f t="shared" si="35"/>
        <v/>
      </c>
      <c r="AQ92" s="146" t="str">
        <f>IFERROR(_xlfn.IFNA(IF($BA92="No",0,IF(INDEX(Constants!B:B,MATCH(($I92/12),Constants!$A:$A,0))=0,0,INDEX(Constants!B:B,MATCH(($I92/12),Constants!$A:$A,0)))),0),"")</f>
        <v/>
      </c>
      <c r="AR92" s="146" t="str">
        <f>IFERROR(_xlfn.IFNA(IF($BA92="No",0,IF(INDEX(Constants!C:C,MATCH(($I92/12),Constants!$A:$A,0))=0,0,INDEX(Constants!C:C,MATCH(($I92/12),Constants!$A:$A,0)))),0),"")</f>
        <v/>
      </c>
      <c r="AS92" s="146" t="str">
        <f>IFERROR(_xlfn.IFNA(IF($BA92="No",0,IF(INDEX(Constants!D:D,MATCH(($I92/12),Constants!$A:$A,0))=0,0,INDEX(Constants!D:D,MATCH(($I92/12),Constants!$A:$A,0)))),0),"")</f>
        <v/>
      </c>
      <c r="AT92" s="146" t="str">
        <f>IFERROR(_xlfn.IFNA(IF($BA92="No",0,IF(INDEX(Constants!E:E,MATCH(($I92/12),Constants!$A:$A,0))=0,0,INDEX(Constants!E:E,MATCH(($I92/12),Constants!$A:$A,0)))),0),"")</f>
        <v/>
      </c>
      <c r="AU92" s="146" t="str">
        <f>IFERROR(_xlfn.IFNA(IF($BA92="No",0,IF(INDEX(Constants!F:F,MATCH(($I92/12),Constants!$A:$A,0))=0,0,INDEX(Constants!F:F,MATCH(($I92/12),Constants!$A:$A,0)))),0),"")</f>
        <v/>
      </c>
      <c r="AV92" s="146" t="str">
        <f>IFERROR(_xlfn.IFNA(IF($BA92="No",0,IF(INDEX(Constants!G:G,MATCH(($I92/12),Constants!$A:$A,0))=0,0,INDEX(Constants!G:G,MATCH(($I92/12),Constants!$A:$A,0)))),0),"")</f>
        <v/>
      </c>
      <c r="AW92" s="146" t="str">
        <f>IFERROR(_xlfn.IFNA(IF($BA92="No",0,IF(INDEX(Constants!H:H,MATCH(($I92/12),Constants!$A:$A,0))=0,0,INDEX(Constants!H:H,MATCH(($I92/12),Constants!$A:$A,0)))),0),"")</f>
        <v/>
      </c>
      <c r="AX92" s="146" t="str">
        <f>IFERROR(_xlfn.IFNA(IF($BA92="No",0,IF(INDEX(Constants!I:I,MATCH(($I92/12),Constants!$A:$A,0))=0,0,INDEX(Constants!I:I,MATCH(($I92/12),Constants!$A:$A,0)))),0),"")</f>
        <v/>
      </c>
      <c r="AY92" s="146" t="str">
        <f>IFERROR(_xlfn.IFNA(IF($BA92="No",0,IF(INDEX(Constants!J:J,MATCH(($I92/12),Constants!$A:$A,0))=0,0,INDEX(Constants!J:J,MATCH(($I92/12),Constants!$A:$A,0)))),0),"")</f>
        <v/>
      </c>
      <c r="AZ92" s="146" t="str">
        <f>IFERROR(_xlfn.IFNA(IF($BA92="No",0,IF(INDEX(Constants!K:K,MATCH(($I92/12),Constants!$A:$A,0))=0,0,INDEX(Constants!K:K,MATCH(($I92/12),Constants!$A:$A,0)))),0),"")</f>
        <v/>
      </c>
      <c r="BA92" s="147" t="str">
        <f>_xlfn.IFNA(INDEX(Producer!$L:$L,MATCH($D92,Producer!$A:$A,0)),"")</f>
        <v/>
      </c>
      <c r="BB92" s="146" t="str">
        <f>IFERROR(IF(AQ92=0,"",IF(($I92/12)=15,_xlfn.CONCAT(Constants!$N$7,TEXT(DATE(YEAR(H92)-(($I92/12)-3),MONTH(H92),DAY(H92)),"dd/mm/yyyy"),", ",Constants!$P$7,TEXT(DATE(YEAR(H92)-(($I92/12)-8),MONTH(H92),DAY(H92)),"dd/mm/yyyy"),", ",Constants!$T$7,TEXT(DATE(YEAR(H92)-(($I92/12)-11),MONTH(H92),DAY(H92)),"dd/mm/yyyy"),", ",Constants!$V$7,TEXT(DATE(YEAR(H92)-(($I92/12)-13),MONTH(H92),DAY(H92)),"dd/mm/yyyy"),", ",Constants!$W$7,TEXT($H92,"dd/mm/yyyy")),IF(($I92/12)=10,_xlfn.CONCAT(Constants!$N$6,TEXT(DATE(YEAR(H92)-(($I92/12)-2),MONTH(H92),DAY(H92)),"dd/mm/yyyy"),", ",Constants!$P$6,TEXT(DATE(YEAR(H92)-(($I92/12)-6),MONTH(H92),DAY(H92)),"dd/mm/yyyy"),", ",Constants!$T$6,TEXT(DATE(YEAR(H92)-(($I92/12)-8),MONTH(H92),DAY(H92)),"dd/mm/yyyy"),", ",Constants!$V$6,TEXT(DATE(YEAR(H92)-(($I92/12)-9),MONTH(H92),DAY(H92)),"dd/mm/yyyy"),", ",Constants!$W$6,TEXT($H92,"dd/mm/yyyy")),IF(($I92/12)=5,_xlfn.CONCAT(Constants!$N$5,TEXT(DATE(YEAR(H92)-(($I92/12)-1),MONTH(H92),DAY(H92)),"dd/mm/yyyy"),", ",Constants!$O$5,TEXT(DATE(YEAR(H92)-(($I92/12)-2),MONTH(H92),DAY(H92)),"dd/mm/yyyy"),", ",Constants!$P$5,TEXT(DATE(YEAR(H92)-(($I92/12)-3),MONTH(H92),DAY(H92)),"dd/mm/yyyy"),", ",Constants!$Q$5,TEXT(DATE(YEAR(H92)-(($I92/12)-4),MONTH(H92),DAY(H92)),"dd/mm/yyyy"),", ",Constants!$R$5,TEXT($H92,"dd/mm/yyyy")),IF(($I92/12)=3,_xlfn.CONCAT(Constants!$N$4,TEXT(DATE(YEAR(H92)-(($I92/12)-1),MONTH(H92),DAY(H92)),"dd/mm/yyyy"),", ",Constants!$O$4,TEXT(DATE(YEAR(H92)-(($I92/12)-2),MONTH(H92),DAY(H92)),"dd/mm/yyyy"),", ",Constants!$P$4,TEXT($H92,"dd/mm/yyyy")),IF(($I92/12)=2,_xlfn.CONCAT(Constants!$N$3,TEXT(DATE(YEAR(H92)-(($I92/12)-1),MONTH(H92),DAY(H92)),"dd/mm/yyyy"),", ",Constants!$O$3,TEXT($H92,"dd/mm/yyyy")),IF(($I92/12)=1,_xlfn.CONCAT(Constants!$N$2,TEXT($H92,"dd/mm/yyyy")),"Update Constants"))))))),"")</f>
        <v/>
      </c>
      <c r="BC92" s="147" t="str">
        <f>_xlfn.IFNA(VALUE(INDEX(Producer!$K:$K,MATCH($D92,Producer!$A:$A,0))),"")</f>
        <v/>
      </c>
      <c r="BD92" s="147" t="str">
        <f>_xlfn.IFNA(INDEX(Producer!$I:$I,MATCH($D92,Producer!$A:$A,0)),"")</f>
        <v/>
      </c>
      <c r="BE92" s="147" t="str">
        <f t="shared" si="36"/>
        <v/>
      </c>
      <c r="BF92" s="147"/>
      <c r="BG92" s="147"/>
      <c r="BH92" s="151" t="str">
        <f>_xlfn.IFNA(INDEX(Constants!$B:$B,MATCH(BC92,Constants!A:A,0)),"")</f>
        <v/>
      </c>
      <c r="BI92" s="147" t="str">
        <f>IF(LEFT(B92,15)="Limited Company",Constants!$D$16,IFERROR(_xlfn.IFNA(IF(C92="Residential",IF(BK92&lt;75,INDEX(Constants!$B:$B,MATCH(VALUE(60)/100,Constants!$A:$A,0)),INDEX(Constants!$B:$B,MATCH(VALUE(BK92)/100,Constants!$A:$A,0))),IF(BK92&lt;60,INDEX(Constants!$C:$C,MATCH(VALUE(60)/100,Constants!$A:$A,0)),INDEX(Constants!$C:$C,MATCH(VALUE(BK92)/100,Constants!$A:$A,0)))),""),""))</f>
        <v/>
      </c>
      <c r="BJ92" s="147" t="str">
        <f t="shared" si="37"/>
        <v/>
      </c>
      <c r="BK92" s="147" t="str">
        <f>_xlfn.IFNA(VALUE(INDEX(Producer!$E:$E,MATCH($D92,Producer!$A:$A,0)))*100,"")</f>
        <v/>
      </c>
      <c r="BL92" s="146" t="str">
        <f>_xlfn.IFNA(IF(IFERROR(FIND("Part &amp; Part",B92),-10)&gt;0,"PP",IF(OR(LEFT(B92,25)="Residential Interest Only",INDEX(Producer!$P:$P,MATCH($D92,Producer!$A:$A,0))="IO",INDEX(Producer!$P:$P,MATCH($D92,Producer!$A:$A,0))="Retirement Interest Only"),"IO",IF($C92="BuyToLet","CI, IO","CI"))),"")</f>
        <v/>
      </c>
      <c r="BM92" s="152" t="str">
        <f>_xlfn.IFNA(IF(BL92="IO",100%,IF(AND(INDEX(Producer!$P:$P,MATCH($D92,Producer!$A:$A,0))="Residential Interest Only Part &amp; Part",BK92=75),80%,IF(C92="BuyToLet",100%,IF(BL92="Interest Only",100%,IF(AND(INDEX(Producer!$P:$P,MATCH($D92,Producer!$A:$A,0))="Residential Interest Only Part &amp; Part",BK92=60),100%,""))))),"")</f>
        <v/>
      </c>
      <c r="BN92" s="218" t="str">
        <f>_xlfn.IFNA(IF(VALUE(INDEX(Producer!$H:$H,MATCH($D92,Producer!$A:$A,0)))=0,"",VALUE(INDEX(Producer!$H:$H,MATCH($D92,Producer!$A:$A,0)))),"")</f>
        <v/>
      </c>
      <c r="BO92" s="153"/>
      <c r="BP92" s="153"/>
      <c r="BQ92" s="219" t="str">
        <f t="shared" si="38"/>
        <v/>
      </c>
      <c r="BR92" s="146"/>
      <c r="BS92" s="146"/>
      <c r="BT92" s="146"/>
      <c r="BU92" s="146"/>
      <c r="BV92" s="219" t="str">
        <f t="shared" si="39"/>
        <v/>
      </c>
      <c r="BW92" s="146"/>
      <c r="BX92" s="146"/>
      <c r="BY92" s="146" t="str">
        <f t="shared" si="40"/>
        <v/>
      </c>
      <c r="BZ92" s="146" t="str">
        <f t="shared" si="41"/>
        <v/>
      </c>
      <c r="CA92" s="146" t="str">
        <f t="shared" si="42"/>
        <v/>
      </c>
      <c r="CB92" s="146" t="str">
        <f t="shared" si="43"/>
        <v/>
      </c>
      <c r="CC92" s="146" t="str">
        <f>_xlfn.IFNA(IF(INDEX(Producer!$P:$P,MATCH($D92,Producer!$A:$A,0))="Help to Buy","Only available","No"),"")</f>
        <v/>
      </c>
      <c r="CD92" s="146" t="str">
        <f>_xlfn.IFNA(IF(INDEX(Producer!$P:$P,MATCH($D92,Producer!$A:$A,0))="Shared Ownership","Only available","No"),"")</f>
        <v/>
      </c>
      <c r="CE92" s="146" t="str">
        <f>_xlfn.IFNA(IF(INDEX(Producer!$P:$P,MATCH($D92,Producer!$A:$A,0))="Right to Buy","Only available","No"),"")</f>
        <v/>
      </c>
      <c r="CF92" s="146" t="str">
        <f t="shared" si="44"/>
        <v/>
      </c>
      <c r="CG92" s="146" t="str">
        <f>_xlfn.IFNA(IF(INDEX(Producer!$P:$P,MATCH($D92,Producer!$A:$A,0))="Retirement Interest Only","Only available","No"),"")</f>
        <v/>
      </c>
      <c r="CH92" s="146" t="str">
        <f t="shared" si="45"/>
        <v/>
      </c>
      <c r="CI92" s="146" t="str">
        <f>_xlfn.IFNA(IF(INDEX(Producer!$P:$P,MATCH($D92,Producer!$A:$A,0))="Intermediary Holiday Let","Only available","No"),"")</f>
        <v/>
      </c>
      <c r="CJ92" s="146" t="str">
        <f t="shared" si="46"/>
        <v/>
      </c>
      <c r="CK92" s="146" t="str">
        <f>_xlfn.IFNA(IF(OR(INDEX(Producer!$P:$P,MATCH($D92,Producer!$A:$A,0))="Intermediary Small HMO",INDEX(Producer!$P:$P,MATCH($D92,Producer!$A:$A,0))="Intermediary Large HMO"),"Only available","No"),"")</f>
        <v/>
      </c>
      <c r="CL92" s="146" t="str">
        <f t="shared" si="47"/>
        <v/>
      </c>
      <c r="CM92" s="146" t="str">
        <f t="shared" si="48"/>
        <v/>
      </c>
      <c r="CN92" s="146" t="str">
        <f t="shared" si="49"/>
        <v/>
      </c>
      <c r="CO92" s="146" t="str">
        <f t="shared" si="50"/>
        <v/>
      </c>
      <c r="CP92" s="146" t="str">
        <f t="shared" si="51"/>
        <v/>
      </c>
      <c r="CQ92" s="146" t="str">
        <f t="shared" si="52"/>
        <v/>
      </c>
      <c r="CR92" s="146" t="str">
        <f t="shared" si="53"/>
        <v/>
      </c>
      <c r="CS92" s="146" t="str">
        <f t="shared" si="54"/>
        <v/>
      </c>
      <c r="CT92" s="146" t="str">
        <f t="shared" si="55"/>
        <v/>
      </c>
      <c r="CU92" s="146"/>
    </row>
    <row r="93" spans="1:99" ht="16.399999999999999" customHeight="1" x14ac:dyDescent="0.35">
      <c r="A93" s="145" t="str">
        <f t="shared" si="28"/>
        <v/>
      </c>
      <c r="B93" s="145" t="str">
        <f>_xlfn.IFNA(_xlfn.CONCAT(INDEX(Producer!$P:$P,MATCH($D93,Producer!$A:$A,0))," ",IF(INDEX(Producer!$N:$N,MATCH($D93,Producer!$A:$A,0))="Yes","Green ",""),IF(AND(INDEX(Producer!$L:$L,MATCH($D93,Producer!$A:$A,0))="No",INDEX(Producer!$C:$C,MATCH($D93,Producer!$A:$A,0))="Fixed"),"Flexit ",""),INDEX(Producer!$B:$B,MATCH($D93,Producer!$A:$A,0))," Year ",INDEX(Producer!$C:$C,MATCH($D93,Producer!$A:$A,0))," ",VALUE(INDEX(Producer!$E:$E,MATCH($D93,Producer!$A:$A,0)))*100,"% LTV",IF(INDEX(Producer!$N:$N,MATCH($D93,Producer!$A:$A,0))="Yes"," (EPC A-C)","")," - ",IF(INDEX(Producer!$D:$D,MATCH($D93,Producer!$A:$A,0))="DLY","Daily","Annual")),"")</f>
        <v/>
      </c>
      <c r="C93" s="146" t="str">
        <f>_xlfn.IFNA(INDEX(Producer!$Q:$Q,MATCH($D93,Producer!$A:$A,0)),"")</f>
        <v/>
      </c>
      <c r="D93" s="146" t="str">
        <f>IFERROR(VALUE(MID(Producer!$R$2,IF($D92="",1/0,FIND(_xlfn.CONCAT($D91,$D92),Producer!$R$2)+10),5)),"")</f>
        <v/>
      </c>
      <c r="E93" s="146" t="str">
        <f t="shared" si="29"/>
        <v/>
      </c>
      <c r="F93" s="146"/>
      <c r="G93" s="147" t="str">
        <f>_xlfn.IFNA(VALUE(INDEX(Producer!$F:$F,MATCH($D93,Producer!$A:$A,0)))*100,"")</f>
        <v/>
      </c>
      <c r="H93" s="216" t="str">
        <f>_xlfn.IFNA(IFERROR(DATEVALUE(INDEX(Producer!$M:$M,MATCH($D93,Producer!$A:$A,0))),(INDEX(Producer!$M:$M,MATCH($D93,Producer!$A:$A,0)))),"")</f>
        <v/>
      </c>
      <c r="I93" s="217" t="str">
        <f>_xlfn.IFNA(VALUE(INDEX(Producer!$B:$B,MATCH($D93,Producer!$A:$A,0)))*12,"")</f>
        <v/>
      </c>
      <c r="J93" s="146" t="str">
        <f>_xlfn.IFNA(IF(C93="Residential",IF(VALUE(INDEX(Producer!$B:$B,MATCH($D93,Producer!$A:$A,0)))&lt;5,Constants!$C$10,""),IF(VALUE(INDEX(Producer!$B:$B,MATCH($D93,Producer!$A:$A,0)))&lt;5,Constants!$C$11,"")),"")</f>
        <v/>
      </c>
      <c r="K93" s="216" t="str">
        <f>_xlfn.IFNA(IF(($I93)&lt;60,DATE(YEAR(H93)+(5-VALUE(INDEX(Producer!$B:$B,MATCH($D93,Producer!$A:$A,0)))),MONTH(H93),DAY(H93)),""),"")</f>
        <v/>
      </c>
      <c r="L93" s="153" t="str">
        <f t="shared" si="30"/>
        <v/>
      </c>
      <c r="M93" s="146"/>
      <c r="N93" s="148"/>
      <c r="O93" s="148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 t="str">
        <f>IF(D93="","",IF(C93="Residential",Constants!$B$10,Constants!$B$11))</f>
        <v/>
      </c>
      <c r="AL93" s="146" t="str">
        <f t="shared" si="31"/>
        <v/>
      </c>
      <c r="AM93" s="206" t="str">
        <f t="shared" si="32"/>
        <v/>
      </c>
      <c r="AN93" s="146" t="str">
        <f t="shared" si="33"/>
        <v/>
      </c>
      <c r="AO93" s="149" t="str">
        <f t="shared" si="34"/>
        <v/>
      </c>
      <c r="AP93" s="150" t="str">
        <f t="shared" si="35"/>
        <v/>
      </c>
      <c r="AQ93" s="146" t="str">
        <f>IFERROR(_xlfn.IFNA(IF($BA93="No",0,IF(INDEX(Constants!B:B,MATCH(($I93/12),Constants!$A:$A,0))=0,0,INDEX(Constants!B:B,MATCH(($I93/12),Constants!$A:$A,0)))),0),"")</f>
        <v/>
      </c>
      <c r="AR93" s="146" t="str">
        <f>IFERROR(_xlfn.IFNA(IF($BA93="No",0,IF(INDEX(Constants!C:C,MATCH(($I93/12),Constants!$A:$A,0))=0,0,INDEX(Constants!C:C,MATCH(($I93/12),Constants!$A:$A,0)))),0),"")</f>
        <v/>
      </c>
      <c r="AS93" s="146" t="str">
        <f>IFERROR(_xlfn.IFNA(IF($BA93="No",0,IF(INDEX(Constants!D:D,MATCH(($I93/12),Constants!$A:$A,0))=0,0,INDEX(Constants!D:D,MATCH(($I93/12),Constants!$A:$A,0)))),0),"")</f>
        <v/>
      </c>
      <c r="AT93" s="146" t="str">
        <f>IFERROR(_xlfn.IFNA(IF($BA93="No",0,IF(INDEX(Constants!E:E,MATCH(($I93/12),Constants!$A:$A,0))=0,0,INDEX(Constants!E:E,MATCH(($I93/12),Constants!$A:$A,0)))),0),"")</f>
        <v/>
      </c>
      <c r="AU93" s="146" t="str">
        <f>IFERROR(_xlfn.IFNA(IF($BA93="No",0,IF(INDEX(Constants!F:F,MATCH(($I93/12),Constants!$A:$A,0))=0,0,INDEX(Constants!F:F,MATCH(($I93/12),Constants!$A:$A,0)))),0),"")</f>
        <v/>
      </c>
      <c r="AV93" s="146" t="str">
        <f>IFERROR(_xlfn.IFNA(IF($BA93="No",0,IF(INDEX(Constants!G:G,MATCH(($I93/12),Constants!$A:$A,0))=0,0,INDEX(Constants!G:G,MATCH(($I93/12),Constants!$A:$A,0)))),0),"")</f>
        <v/>
      </c>
      <c r="AW93" s="146" t="str">
        <f>IFERROR(_xlfn.IFNA(IF($BA93="No",0,IF(INDEX(Constants!H:H,MATCH(($I93/12),Constants!$A:$A,0))=0,0,INDEX(Constants!H:H,MATCH(($I93/12),Constants!$A:$A,0)))),0),"")</f>
        <v/>
      </c>
      <c r="AX93" s="146" t="str">
        <f>IFERROR(_xlfn.IFNA(IF($BA93="No",0,IF(INDEX(Constants!I:I,MATCH(($I93/12),Constants!$A:$A,0))=0,0,INDEX(Constants!I:I,MATCH(($I93/12),Constants!$A:$A,0)))),0),"")</f>
        <v/>
      </c>
      <c r="AY93" s="146" t="str">
        <f>IFERROR(_xlfn.IFNA(IF($BA93="No",0,IF(INDEX(Constants!J:J,MATCH(($I93/12),Constants!$A:$A,0))=0,0,INDEX(Constants!J:J,MATCH(($I93/12),Constants!$A:$A,0)))),0),"")</f>
        <v/>
      </c>
      <c r="AZ93" s="146" t="str">
        <f>IFERROR(_xlfn.IFNA(IF($BA93="No",0,IF(INDEX(Constants!K:K,MATCH(($I93/12),Constants!$A:$A,0))=0,0,INDEX(Constants!K:K,MATCH(($I93/12),Constants!$A:$A,0)))),0),"")</f>
        <v/>
      </c>
      <c r="BA93" s="147" t="str">
        <f>_xlfn.IFNA(INDEX(Producer!$L:$L,MATCH($D93,Producer!$A:$A,0)),"")</f>
        <v/>
      </c>
      <c r="BB93" s="146" t="str">
        <f>IFERROR(IF(AQ93=0,"",IF(($I93/12)=15,_xlfn.CONCAT(Constants!$N$7,TEXT(DATE(YEAR(H93)-(($I93/12)-3),MONTH(H93),DAY(H93)),"dd/mm/yyyy"),", ",Constants!$P$7,TEXT(DATE(YEAR(H93)-(($I93/12)-8),MONTH(H93),DAY(H93)),"dd/mm/yyyy"),", ",Constants!$T$7,TEXT(DATE(YEAR(H93)-(($I93/12)-11),MONTH(H93),DAY(H93)),"dd/mm/yyyy"),", ",Constants!$V$7,TEXT(DATE(YEAR(H93)-(($I93/12)-13),MONTH(H93),DAY(H93)),"dd/mm/yyyy"),", ",Constants!$W$7,TEXT($H93,"dd/mm/yyyy")),IF(($I93/12)=10,_xlfn.CONCAT(Constants!$N$6,TEXT(DATE(YEAR(H93)-(($I93/12)-2),MONTH(H93),DAY(H93)),"dd/mm/yyyy"),", ",Constants!$P$6,TEXT(DATE(YEAR(H93)-(($I93/12)-6),MONTH(H93),DAY(H93)),"dd/mm/yyyy"),", ",Constants!$T$6,TEXT(DATE(YEAR(H93)-(($I93/12)-8),MONTH(H93),DAY(H93)),"dd/mm/yyyy"),", ",Constants!$V$6,TEXT(DATE(YEAR(H93)-(($I93/12)-9),MONTH(H93),DAY(H93)),"dd/mm/yyyy"),", ",Constants!$W$6,TEXT($H93,"dd/mm/yyyy")),IF(($I93/12)=5,_xlfn.CONCAT(Constants!$N$5,TEXT(DATE(YEAR(H93)-(($I93/12)-1),MONTH(H93),DAY(H93)),"dd/mm/yyyy"),", ",Constants!$O$5,TEXT(DATE(YEAR(H93)-(($I93/12)-2),MONTH(H93),DAY(H93)),"dd/mm/yyyy"),", ",Constants!$P$5,TEXT(DATE(YEAR(H93)-(($I93/12)-3),MONTH(H93),DAY(H93)),"dd/mm/yyyy"),", ",Constants!$Q$5,TEXT(DATE(YEAR(H93)-(($I93/12)-4),MONTH(H93),DAY(H93)),"dd/mm/yyyy"),", ",Constants!$R$5,TEXT($H93,"dd/mm/yyyy")),IF(($I93/12)=3,_xlfn.CONCAT(Constants!$N$4,TEXT(DATE(YEAR(H93)-(($I93/12)-1),MONTH(H93),DAY(H93)),"dd/mm/yyyy"),", ",Constants!$O$4,TEXT(DATE(YEAR(H93)-(($I93/12)-2),MONTH(H93),DAY(H93)),"dd/mm/yyyy"),", ",Constants!$P$4,TEXT($H93,"dd/mm/yyyy")),IF(($I93/12)=2,_xlfn.CONCAT(Constants!$N$3,TEXT(DATE(YEAR(H93)-(($I93/12)-1),MONTH(H93),DAY(H93)),"dd/mm/yyyy"),", ",Constants!$O$3,TEXT($H93,"dd/mm/yyyy")),IF(($I93/12)=1,_xlfn.CONCAT(Constants!$N$2,TEXT($H93,"dd/mm/yyyy")),"Update Constants"))))))),"")</f>
        <v/>
      </c>
      <c r="BC93" s="147" t="str">
        <f>_xlfn.IFNA(VALUE(INDEX(Producer!$K:$K,MATCH($D93,Producer!$A:$A,0))),"")</f>
        <v/>
      </c>
      <c r="BD93" s="147" t="str">
        <f>_xlfn.IFNA(INDEX(Producer!$I:$I,MATCH($D93,Producer!$A:$A,0)),"")</f>
        <v/>
      </c>
      <c r="BE93" s="147" t="str">
        <f t="shared" si="36"/>
        <v/>
      </c>
      <c r="BF93" s="147"/>
      <c r="BG93" s="147"/>
      <c r="BH93" s="151" t="str">
        <f>_xlfn.IFNA(INDEX(Constants!$B:$B,MATCH(BC93,Constants!A:A,0)),"")</f>
        <v/>
      </c>
      <c r="BI93" s="147" t="str">
        <f>IF(LEFT(B93,15)="Limited Company",Constants!$D$16,IFERROR(_xlfn.IFNA(IF(C93="Residential",IF(BK93&lt;75,INDEX(Constants!$B:$B,MATCH(VALUE(60)/100,Constants!$A:$A,0)),INDEX(Constants!$B:$B,MATCH(VALUE(BK93)/100,Constants!$A:$A,0))),IF(BK93&lt;60,INDEX(Constants!$C:$C,MATCH(VALUE(60)/100,Constants!$A:$A,0)),INDEX(Constants!$C:$C,MATCH(VALUE(BK93)/100,Constants!$A:$A,0)))),""),""))</f>
        <v/>
      </c>
      <c r="BJ93" s="147" t="str">
        <f t="shared" si="37"/>
        <v/>
      </c>
      <c r="BK93" s="147" t="str">
        <f>_xlfn.IFNA(VALUE(INDEX(Producer!$E:$E,MATCH($D93,Producer!$A:$A,0)))*100,"")</f>
        <v/>
      </c>
      <c r="BL93" s="146" t="str">
        <f>_xlfn.IFNA(IF(IFERROR(FIND("Part &amp; Part",B93),-10)&gt;0,"PP",IF(OR(LEFT(B93,25)="Residential Interest Only",INDEX(Producer!$P:$P,MATCH($D93,Producer!$A:$A,0))="IO",INDEX(Producer!$P:$P,MATCH($D93,Producer!$A:$A,0))="Retirement Interest Only"),"IO",IF($C93="BuyToLet","CI, IO","CI"))),"")</f>
        <v/>
      </c>
      <c r="BM93" s="152" t="str">
        <f>_xlfn.IFNA(IF(BL93="IO",100%,IF(AND(INDEX(Producer!$P:$P,MATCH($D93,Producer!$A:$A,0))="Residential Interest Only Part &amp; Part",BK93=75),80%,IF(C93="BuyToLet",100%,IF(BL93="Interest Only",100%,IF(AND(INDEX(Producer!$P:$P,MATCH($D93,Producer!$A:$A,0))="Residential Interest Only Part &amp; Part",BK93=60),100%,""))))),"")</f>
        <v/>
      </c>
      <c r="BN93" s="218" t="str">
        <f>_xlfn.IFNA(IF(VALUE(INDEX(Producer!$H:$H,MATCH($D93,Producer!$A:$A,0)))=0,"",VALUE(INDEX(Producer!$H:$H,MATCH($D93,Producer!$A:$A,0)))),"")</f>
        <v/>
      </c>
      <c r="BO93" s="153"/>
      <c r="BP93" s="153"/>
      <c r="BQ93" s="219" t="str">
        <f t="shared" si="38"/>
        <v/>
      </c>
      <c r="BR93" s="146"/>
      <c r="BS93" s="146"/>
      <c r="BT93" s="146"/>
      <c r="BU93" s="146"/>
      <c r="BV93" s="219" t="str">
        <f t="shared" si="39"/>
        <v/>
      </c>
      <c r="BW93" s="146"/>
      <c r="BX93" s="146"/>
      <c r="BY93" s="146" t="str">
        <f t="shared" si="40"/>
        <v/>
      </c>
      <c r="BZ93" s="146" t="str">
        <f t="shared" si="41"/>
        <v/>
      </c>
      <c r="CA93" s="146" t="str">
        <f t="shared" si="42"/>
        <v/>
      </c>
      <c r="CB93" s="146" t="str">
        <f t="shared" si="43"/>
        <v/>
      </c>
      <c r="CC93" s="146" t="str">
        <f>_xlfn.IFNA(IF(INDEX(Producer!$P:$P,MATCH($D93,Producer!$A:$A,0))="Help to Buy","Only available","No"),"")</f>
        <v/>
      </c>
      <c r="CD93" s="146" t="str">
        <f>_xlfn.IFNA(IF(INDEX(Producer!$P:$P,MATCH($D93,Producer!$A:$A,0))="Shared Ownership","Only available","No"),"")</f>
        <v/>
      </c>
      <c r="CE93" s="146" t="str">
        <f>_xlfn.IFNA(IF(INDEX(Producer!$P:$P,MATCH($D93,Producer!$A:$A,0))="Right to Buy","Only available","No"),"")</f>
        <v/>
      </c>
      <c r="CF93" s="146" t="str">
        <f t="shared" si="44"/>
        <v/>
      </c>
      <c r="CG93" s="146" t="str">
        <f>_xlfn.IFNA(IF(INDEX(Producer!$P:$P,MATCH($D93,Producer!$A:$A,0))="Retirement Interest Only","Only available","No"),"")</f>
        <v/>
      </c>
      <c r="CH93" s="146" t="str">
        <f t="shared" si="45"/>
        <v/>
      </c>
      <c r="CI93" s="146" t="str">
        <f>_xlfn.IFNA(IF(INDEX(Producer!$P:$P,MATCH($D93,Producer!$A:$A,0))="Intermediary Holiday Let","Only available","No"),"")</f>
        <v/>
      </c>
      <c r="CJ93" s="146" t="str">
        <f t="shared" si="46"/>
        <v/>
      </c>
      <c r="CK93" s="146" t="str">
        <f>_xlfn.IFNA(IF(OR(INDEX(Producer!$P:$P,MATCH($D93,Producer!$A:$A,0))="Intermediary Small HMO",INDEX(Producer!$P:$P,MATCH($D93,Producer!$A:$A,0))="Intermediary Large HMO"),"Only available","No"),"")</f>
        <v/>
      </c>
      <c r="CL93" s="146" t="str">
        <f t="shared" si="47"/>
        <v/>
      </c>
      <c r="CM93" s="146" t="str">
        <f t="shared" si="48"/>
        <v/>
      </c>
      <c r="CN93" s="146" t="str">
        <f t="shared" si="49"/>
        <v/>
      </c>
      <c r="CO93" s="146" t="str">
        <f t="shared" si="50"/>
        <v/>
      </c>
      <c r="CP93" s="146" t="str">
        <f t="shared" si="51"/>
        <v/>
      </c>
      <c r="CQ93" s="146" t="str">
        <f t="shared" si="52"/>
        <v/>
      </c>
      <c r="CR93" s="146" t="str">
        <f t="shared" si="53"/>
        <v/>
      </c>
      <c r="CS93" s="146" t="str">
        <f t="shared" si="54"/>
        <v/>
      </c>
      <c r="CT93" s="146" t="str">
        <f t="shared" si="55"/>
        <v/>
      </c>
      <c r="CU93" s="146"/>
    </row>
    <row r="94" spans="1:99" ht="16.399999999999999" customHeight="1" x14ac:dyDescent="0.35">
      <c r="A94" s="145" t="str">
        <f t="shared" si="28"/>
        <v/>
      </c>
      <c r="B94" s="145" t="str">
        <f>_xlfn.IFNA(_xlfn.CONCAT(INDEX(Producer!$P:$P,MATCH($D94,Producer!$A:$A,0))," ",IF(INDEX(Producer!$N:$N,MATCH($D94,Producer!$A:$A,0))="Yes","Green ",""),IF(AND(INDEX(Producer!$L:$L,MATCH($D94,Producer!$A:$A,0))="No",INDEX(Producer!$C:$C,MATCH($D94,Producer!$A:$A,0))="Fixed"),"Flexit ",""),INDEX(Producer!$B:$B,MATCH($D94,Producer!$A:$A,0))," Year ",INDEX(Producer!$C:$C,MATCH($D94,Producer!$A:$A,0))," ",VALUE(INDEX(Producer!$E:$E,MATCH($D94,Producer!$A:$A,0)))*100,"% LTV",IF(INDEX(Producer!$N:$N,MATCH($D94,Producer!$A:$A,0))="Yes"," (EPC A-C)","")," - ",IF(INDEX(Producer!$D:$D,MATCH($D94,Producer!$A:$A,0))="DLY","Daily","Annual")),"")</f>
        <v/>
      </c>
      <c r="C94" s="146" t="str">
        <f>_xlfn.IFNA(INDEX(Producer!$Q:$Q,MATCH($D94,Producer!$A:$A,0)),"")</f>
        <v/>
      </c>
      <c r="D94" s="146" t="str">
        <f>IFERROR(VALUE(MID(Producer!$R$2,IF($D93="",1/0,FIND(_xlfn.CONCAT($D92,$D93),Producer!$R$2)+10),5)),"")</f>
        <v/>
      </c>
      <c r="E94" s="146" t="str">
        <f t="shared" si="29"/>
        <v/>
      </c>
      <c r="F94" s="146"/>
      <c r="G94" s="147" t="str">
        <f>_xlfn.IFNA(VALUE(INDEX(Producer!$F:$F,MATCH($D94,Producer!$A:$A,0)))*100,"")</f>
        <v/>
      </c>
      <c r="H94" s="216" t="str">
        <f>_xlfn.IFNA(IFERROR(DATEVALUE(INDEX(Producer!$M:$M,MATCH($D94,Producer!$A:$A,0))),(INDEX(Producer!$M:$M,MATCH($D94,Producer!$A:$A,0)))),"")</f>
        <v/>
      </c>
      <c r="I94" s="217" t="str">
        <f>_xlfn.IFNA(VALUE(INDEX(Producer!$B:$B,MATCH($D94,Producer!$A:$A,0)))*12,"")</f>
        <v/>
      </c>
      <c r="J94" s="146" t="str">
        <f>_xlfn.IFNA(IF(C94="Residential",IF(VALUE(INDEX(Producer!$B:$B,MATCH($D94,Producer!$A:$A,0)))&lt;5,Constants!$C$10,""),IF(VALUE(INDEX(Producer!$B:$B,MATCH($D94,Producer!$A:$A,0)))&lt;5,Constants!$C$11,"")),"")</f>
        <v/>
      </c>
      <c r="K94" s="216" t="str">
        <f>_xlfn.IFNA(IF(($I94)&lt;60,DATE(YEAR(H94)+(5-VALUE(INDEX(Producer!$B:$B,MATCH($D94,Producer!$A:$A,0)))),MONTH(H94),DAY(H94)),""),"")</f>
        <v/>
      </c>
      <c r="L94" s="153" t="str">
        <f t="shared" si="30"/>
        <v/>
      </c>
      <c r="M94" s="146"/>
      <c r="N94" s="148"/>
      <c r="O94" s="148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 t="str">
        <f>IF(D94="","",IF(C94="Residential",Constants!$B$10,Constants!$B$11))</f>
        <v/>
      </c>
      <c r="AL94" s="146" t="str">
        <f t="shared" si="31"/>
        <v/>
      </c>
      <c r="AM94" s="206" t="str">
        <f t="shared" si="32"/>
        <v/>
      </c>
      <c r="AN94" s="146" t="str">
        <f t="shared" si="33"/>
        <v/>
      </c>
      <c r="AO94" s="149" t="str">
        <f t="shared" si="34"/>
        <v/>
      </c>
      <c r="AP94" s="150" t="str">
        <f t="shared" si="35"/>
        <v/>
      </c>
      <c r="AQ94" s="146" t="str">
        <f>IFERROR(_xlfn.IFNA(IF($BA94="No",0,IF(INDEX(Constants!B:B,MATCH(($I94/12),Constants!$A:$A,0))=0,0,INDEX(Constants!B:B,MATCH(($I94/12),Constants!$A:$A,0)))),0),"")</f>
        <v/>
      </c>
      <c r="AR94" s="146" t="str">
        <f>IFERROR(_xlfn.IFNA(IF($BA94="No",0,IF(INDEX(Constants!C:C,MATCH(($I94/12),Constants!$A:$A,0))=0,0,INDEX(Constants!C:C,MATCH(($I94/12),Constants!$A:$A,0)))),0),"")</f>
        <v/>
      </c>
      <c r="AS94" s="146" t="str">
        <f>IFERROR(_xlfn.IFNA(IF($BA94="No",0,IF(INDEX(Constants!D:D,MATCH(($I94/12),Constants!$A:$A,0))=0,0,INDEX(Constants!D:D,MATCH(($I94/12),Constants!$A:$A,0)))),0),"")</f>
        <v/>
      </c>
      <c r="AT94" s="146" t="str">
        <f>IFERROR(_xlfn.IFNA(IF($BA94="No",0,IF(INDEX(Constants!E:E,MATCH(($I94/12),Constants!$A:$A,0))=0,0,INDEX(Constants!E:E,MATCH(($I94/12),Constants!$A:$A,0)))),0),"")</f>
        <v/>
      </c>
      <c r="AU94" s="146" t="str">
        <f>IFERROR(_xlfn.IFNA(IF($BA94="No",0,IF(INDEX(Constants!F:F,MATCH(($I94/12),Constants!$A:$A,0))=0,0,INDEX(Constants!F:F,MATCH(($I94/12),Constants!$A:$A,0)))),0),"")</f>
        <v/>
      </c>
      <c r="AV94" s="146" t="str">
        <f>IFERROR(_xlfn.IFNA(IF($BA94="No",0,IF(INDEX(Constants!G:G,MATCH(($I94/12),Constants!$A:$A,0))=0,0,INDEX(Constants!G:G,MATCH(($I94/12),Constants!$A:$A,0)))),0),"")</f>
        <v/>
      </c>
      <c r="AW94" s="146" t="str">
        <f>IFERROR(_xlfn.IFNA(IF($BA94="No",0,IF(INDEX(Constants!H:H,MATCH(($I94/12),Constants!$A:$A,0))=0,0,INDEX(Constants!H:H,MATCH(($I94/12),Constants!$A:$A,0)))),0),"")</f>
        <v/>
      </c>
      <c r="AX94" s="146" t="str">
        <f>IFERROR(_xlfn.IFNA(IF($BA94="No",0,IF(INDEX(Constants!I:I,MATCH(($I94/12),Constants!$A:$A,0))=0,0,INDEX(Constants!I:I,MATCH(($I94/12),Constants!$A:$A,0)))),0),"")</f>
        <v/>
      </c>
      <c r="AY94" s="146" t="str">
        <f>IFERROR(_xlfn.IFNA(IF($BA94="No",0,IF(INDEX(Constants!J:J,MATCH(($I94/12),Constants!$A:$A,0))=0,0,INDEX(Constants!J:J,MATCH(($I94/12),Constants!$A:$A,0)))),0),"")</f>
        <v/>
      </c>
      <c r="AZ94" s="146" t="str">
        <f>IFERROR(_xlfn.IFNA(IF($BA94="No",0,IF(INDEX(Constants!K:K,MATCH(($I94/12),Constants!$A:$A,0))=0,0,INDEX(Constants!K:K,MATCH(($I94/12),Constants!$A:$A,0)))),0),"")</f>
        <v/>
      </c>
      <c r="BA94" s="147" t="str">
        <f>_xlfn.IFNA(INDEX(Producer!$L:$L,MATCH($D94,Producer!$A:$A,0)),"")</f>
        <v/>
      </c>
      <c r="BB94" s="146" t="str">
        <f>IFERROR(IF(AQ94=0,"",IF(($I94/12)=15,_xlfn.CONCAT(Constants!$N$7,TEXT(DATE(YEAR(H94)-(($I94/12)-3),MONTH(H94),DAY(H94)),"dd/mm/yyyy"),", ",Constants!$P$7,TEXT(DATE(YEAR(H94)-(($I94/12)-8),MONTH(H94),DAY(H94)),"dd/mm/yyyy"),", ",Constants!$T$7,TEXT(DATE(YEAR(H94)-(($I94/12)-11),MONTH(H94),DAY(H94)),"dd/mm/yyyy"),", ",Constants!$V$7,TEXT(DATE(YEAR(H94)-(($I94/12)-13),MONTH(H94),DAY(H94)),"dd/mm/yyyy"),", ",Constants!$W$7,TEXT($H94,"dd/mm/yyyy")),IF(($I94/12)=10,_xlfn.CONCAT(Constants!$N$6,TEXT(DATE(YEAR(H94)-(($I94/12)-2),MONTH(H94),DAY(H94)),"dd/mm/yyyy"),", ",Constants!$P$6,TEXT(DATE(YEAR(H94)-(($I94/12)-6),MONTH(H94),DAY(H94)),"dd/mm/yyyy"),", ",Constants!$T$6,TEXT(DATE(YEAR(H94)-(($I94/12)-8),MONTH(H94),DAY(H94)),"dd/mm/yyyy"),", ",Constants!$V$6,TEXT(DATE(YEAR(H94)-(($I94/12)-9),MONTH(H94),DAY(H94)),"dd/mm/yyyy"),", ",Constants!$W$6,TEXT($H94,"dd/mm/yyyy")),IF(($I94/12)=5,_xlfn.CONCAT(Constants!$N$5,TEXT(DATE(YEAR(H94)-(($I94/12)-1),MONTH(H94),DAY(H94)),"dd/mm/yyyy"),", ",Constants!$O$5,TEXT(DATE(YEAR(H94)-(($I94/12)-2),MONTH(H94),DAY(H94)),"dd/mm/yyyy"),", ",Constants!$P$5,TEXT(DATE(YEAR(H94)-(($I94/12)-3),MONTH(H94),DAY(H94)),"dd/mm/yyyy"),", ",Constants!$Q$5,TEXT(DATE(YEAR(H94)-(($I94/12)-4),MONTH(H94),DAY(H94)),"dd/mm/yyyy"),", ",Constants!$R$5,TEXT($H94,"dd/mm/yyyy")),IF(($I94/12)=3,_xlfn.CONCAT(Constants!$N$4,TEXT(DATE(YEAR(H94)-(($I94/12)-1),MONTH(H94),DAY(H94)),"dd/mm/yyyy"),", ",Constants!$O$4,TEXT(DATE(YEAR(H94)-(($I94/12)-2),MONTH(H94),DAY(H94)),"dd/mm/yyyy"),", ",Constants!$P$4,TEXT($H94,"dd/mm/yyyy")),IF(($I94/12)=2,_xlfn.CONCAT(Constants!$N$3,TEXT(DATE(YEAR(H94)-(($I94/12)-1),MONTH(H94),DAY(H94)),"dd/mm/yyyy"),", ",Constants!$O$3,TEXT($H94,"dd/mm/yyyy")),IF(($I94/12)=1,_xlfn.CONCAT(Constants!$N$2,TEXT($H94,"dd/mm/yyyy")),"Update Constants"))))))),"")</f>
        <v/>
      </c>
      <c r="BC94" s="147" t="str">
        <f>_xlfn.IFNA(VALUE(INDEX(Producer!$K:$K,MATCH($D94,Producer!$A:$A,0))),"")</f>
        <v/>
      </c>
      <c r="BD94" s="147" t="str">
        <f>_xlfn.IFNA(INDEX(Producer!$I:$I,MATCH($D94,Producer!$A:$A,0)),"")</f>
        <v/>
      </c>
      <c r="BE94" s="147" t="str">
        <f t="shared" si="36"/>
        <v/>
      </c>
      <c r="BF94" s="147"/>
      <c r="BG94" s="147"/>
      <c r="BH94" s="151" t="str">
        <f>_xlfn.IFNA(INDEX(Constants!$B:$B,MATCH(BC94,Constants!A:A,0)),"")</f>
        <v/>
      </c>
      <c r="BI94" s="147" t="str">
        <f>IF(LEFT(B94,15)="Limited Company",Constants!$D$16,IFERROR(_xlfn.IFNA(IF(C94="Residential",IF(BK94&lt;75,INDEX(Constants!$B:$B,MATCH(VALUE(60)/100,Constants!$A:$A,0)),INDEX(Constants!$B:$B,MATCH(VALUE(BK94)/100,Constants!$A:$A,0))),IF(BK94&lt;60,INDEX(Constants!$C:$C,MATCH(VALUE(60)/100,Constants!$A:$A,0)),INDEX(Constants!$C:$C,MATCH(VALUE(BK94)/100,Constants!$A:$A,0)))),""),""))</f>
        <v/>
      </c>
      <c r="BJ94" s="147" t="str">
        <f t="shared" si="37"/>
        <v/>
      </c>
      <c r="BK94" s="147" t="str">
        <f>_xlfn.IFNA(VALUE(INDEX(Producer!$E:$E,MATCH($D94,Producer!$A:$A,0)))*100,"")</f>
        <v/>
      </c>
      <c r="BL94" s="146" t="str">
        <f>_xlfn.IFNA(IF(IFERROR(FIND("Part &amp; Part",B94),-10)&gt;0,"PP",IF(OR(LEFT(B94,25)="Residential Interest Only",INDEX(Producer!$P:$P,MATCH($D94,Producer!$A:$A,0))="IO",INDEX(Producer!$P:$P,MATCH($D94,Producer!$A:$A,0))="Retirement Interest Only"),"IO",IF($C94="BuyToLet","CI, IO","CI"))),"")</f>
        <v/>
      </c>
      <c r="BM94" s="152" t="str">
        <f>_xlfn.IFNA(IF(BL94="IO",100%,IF(AND(INDEX(Producer!$P:$P,MATCH($D94,Producer!$A:$A,0))="Residential Interest Only Part &amp; Part",BK94=75),80%,IF(C94="BuyToLet",100%,IF(BL94="Interest Only",100%,IF(AND(INDEX(Producer!$P:$P,MATCH($D94,Producer!$A:$A,0))="Residential Interest Only Part &amp; Part",BK94=60),100%,""))))),"")</f>
        <v/>
      </c>
      <c r="BN94" s="218" t="str">
        <f>_xlfn.IFNA(IF(VALUE(INDEX(Producer!$H:$H,MATCH($D94,Producer!$A:$A,0)))=0,"",VALUE(INDEX(Producer!$H:$H,MATCH($D94,Producer!$A:$A,0)))),"")</f>
        <v/>
      </c>
      <c r="BO94" s="153"/>
      <c r="BP94" s="153"/>
      <c r="BQ94" s="219" t="str">
        <f t="shared" si="38"/>
        <v/>
      </c>
      <c r="BR94" s="146"/>
      <c r="BS94" s="146"/>
      <c r="BT94" s="146"/>
      <c r="BU94" s="146"/>
      <c r="BV94" s="219" t="str">
        <f t="shared" si="39"/>
        <v/>
      </c>
      <c r="BW94" s="146"/>
      <c r="BX94" s="146"/>
      <c r="BY94" s="146" t="str">
        <f t="shared" si="40"/>
        <v/>
      </c>
      <c r="BZ94" s="146" t="str">
        <f t="shared" si="41"/>
        <v/>
      </c>
      <c r="CA94" s="146" t="str">
        <f t="shared" si="42"/>
        <v/>
      </c>
      <c r="CB94" s="146" t="str">
        <f t="shared" si="43"/>
        <v/>
      </c>
      <c r="CC94" s="146" t="str">
        <f>_xlfn.IFNA(IF(INDEX(Producer!$P:$P,MATCH($D94,Producer!$A:$A,0))="Help to Buy","Only available","No"),"")</f>
        <v/>
      </c>
      <c r="CD94" s="146" t="str">
        <f>_xlfn.IFNA(IF(INDEX(Producer!$P:$P,MATCH($D94,Producer!$A:$A,0))="Shared Ownership","Only available","No"),"")</f>
        <v/>
      </c>
      <c r="CE94" s="146" t="str">
        <f>_xlfn.IFNA(IF(INDEX(Producer!$P:$P,MATCH($D94,Producer!$A:$A,0))="Right to Buy","Only available","No"),"")</f>
        <v/>
      </c>
      <c r="CF94" s="146" t="str">
        <f t="shared" si="44"/>
        <v/>
      </c>
      <c r="CG94" s="146" t="str">
        <f>_xlfn.IFNA(IF(INDEX(Producer!$P:$P,MATCH($D94,Producer!$A:$A,0))="Retirement Interest Only","Only available","No"),"")</f>
        <v/>
      </c>
      <c r="CH94" s="146" t="str">
        <f t="shared" si="45"/>
        <v/>
      </c>
      <c r="CI94" s="146" t="str">
        <f>_xlfn.IFNA(IF(INDEX(Producer!$P:$P,MATCH($D94,Producer!$A:$A,0))="Intermediary Holiday Let","Only available","No"),"")</f>
        <v/>
      </c>
      <c r="CJ94" s="146" t="str">
        <f t="shared" si="46"/>
        <v/>
      </c>
      <c r="CK94" s="146" t="str">
        <f>_xlfn.IFNA(IF(OR(INDEX(Producer!$P:$P,MATCH($D94,Producer!$A:$A,0))="Intermediary Small HMO",INDEX(Producer!$P:$P,MATCH($D94,Producer!$A:$A,0))="Intermediary Large HMO"),"Only available","No"),"")</f>
        <v/>
      </c>
      <c r="CL94" s="146" t="str">
        <f t="shared" si="47"/>
        <v/>
      </c>
      <c r="CM94" s="146" t="str">
        <f t="shared" si="48"/>
        <v/>
      </c>
      <c r="CN94" s="146" t="str">
        <f t="shared" si="49"/>
        <v/>
      </c>
      <c r="CO94" s="146" t="str">
        <f t="shared" si="50"/>
        <v/>
      </c>
      <c r="CP94" s="146" t="str">
        <f t="shared" si="51"/>
        <v/>
      </c>
      <c r="CQ94" s="146" t="str">
        <f t="shared" si="52"/>
        <v/>
      </c>
      <c r="CR94" s="146" t="str">
        <f t="shared" si="53"/>
        <v/>
      </c>
      <c r="CS94" s="146" t="str">
        <f t="shared" si="54"/>
        <v/>
      </c>
      <c r="CT94" s="146" t="str">
        <f t="shared" si="55"/>
        <v/>
      </c>
      <c r="CU94" s="146"/>
    </row>
    <row r="95" spans="1:99" ht="16.399999999999999" customHeight="1" x14ac:dyDescent="0.35">
      <c r="A95" s="145" t="str">
        <f t="shared" si="28"/>
        <v/>
      </c>
      <c r="B95" s="145" t="str">
        <f>_xlfn.IFNA(_xlfn.CONCAT(INDEX(Producer!$P:$P,MATCH($D95,Producer!$A:$A,0))," ",IF(INDEX(Producer!$N:$N,MATCH($D95,Producer!$A:$A,0))="Yes","Green ",""),IF(AND(INDEX(Producer!$L:$L,MATCH($D95,Producer!$A:$A,0))="No",INDEX(Producer!$C:$C,MATCH($D95,Producer!$A:$A,0))="Fixed"),"Flexit ",""),INDEX(Producer!$B:$B,MATCH($D95,Producer!$A:$A,0))," Year ",INDEX(Producer!$C:$C,MATCH($D95,Producer!$A:$A,0))," ",VALUE(INDEX(Producer!$E:$E,MATCH($D95,Producer!$A:$A,0)))*100,"% LTV",IF(INDEX(Producer!$N:$N,MATCH($D95,Producer!$A:$A,0))="Yes"," (EPC A-C)","")," - ",IF(INDEX(Producer!$D:$D,MATCH($D95,Producer!$A:$A,0))="DLY","Daily","Annual")),"")</f>
        <v/>
      </c>
      <c r="C95" s="146" t="str">
        <f>_xlfn.IFNA(INDEX(Producer!$Q:$Q,MATCH($D95,Producer!$A:$A,0)),"")</f>
        <v/>
      </c>
      <c r="D95" s="146" t="str">
        <f>IFERROR(VALUE(MID(Producer!$R$2,IF($D94="",1/0,FIND(_xlfn.CONCAT($D93,$D94),Producer!$R$2)+10),5)),"")</f>
        <v/>
      </c>
      <c r="E95" s="146" t="str">
        <f t="shared" si="29"/>
        <v/>
      </c>
      <c r="F95" s="146"/>
      <c r="G95" s="147" t="str">
        <f>_xlfn.IFNA(VALUE(INDEX(Producer!$F:$F,MATCH($D95,Producer!$A:$A,0)))*100,"")</f>
        <v/>
      </c>
      <c r="H95" s="216" t="str">
        <f>_xlfn.IFNA(IFERROR(DATEVALUE(INDEX(Producer!$M:$M,MATCH($D95,Producer!$A:$A,0))),(INDEX(Producer!$M:$M,MATCH($D95,Producer!$A:$A,0)))),"")</f>
        <v/>
      </c>
      <c r="I95" s="217" t="str">
        <f>_xlfn.IFNA(VALUE(INDEX(Producer!$B:$B,MATCH($D95,Producer!$A:$A,0)))*12,"")</f>
        <v/>
      </c>
      <c r="J95" s="146" t="str">
        <f>_xlfn.IFNA(IF(C95="Residential",IF(VALUE(INDEX(Producer!$B:$B,MATCH($D95,Producer!$A:$A,0)))&lt;5,Constants!$C$10,""),IF(VALUE(INDEX(Producer!$B:$B,MATCH($D95,Producer!$A:$A,0)))&lt;5,Constants!$C$11,"")),"")</f>
        <v/>
      </c>
      <c r="K95" s="216" t="str">
        <f>_xlfn.IFNA(IF(($I95)&lt;60,DATE(YEAR(H95)+(5-VALUE(INDEX(Producer!$B:$B,MATCH($D95,Producer!$A:$A,0)))),MONTH(H95),DAY(H95)),""),"")</f>
        <v/>
      </c>
      <c r="L95" s="153" t="str">
        <f t="shared" si="30"/>
        <v/>
      </c>
      <c r="M95" s="146"/>
      <c r="N95" s="148"/>
      <c r="O95" s="148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 t="str">
        <f>IF(D95="","",IF(C95="Residential",Constants!$B$10,Constants!$B$11))</f>
        <v/>
      </c>
      <c r="AL95" s="146" t="str">
        <f t="shared" si="31"/>
        <v/>
      </c>
      <c r="AM95" s="206" t="str">
        <f t="shared" si="32"/>
        <v/>
      </c>
      <c r="AN95" s="146" t="str">
        <f t="shared" si="33"/>
        <v/>
      </c>
      <c r="AO95" s="149" t="str">
        <f t="shared" si="34"/>
        <v/>
      </c>
      <c r="AP95" s="150" t="str">
        <f t="shared" si="35"/>
        <v/>
      </c>
      <c r="AQ95" s="146" t="str">
        <f>IFERROR(_xlfn.IFNA(IF($BA95="No",0,IF(INDEX(Constants!B:B,MATCH(($I95/12),Constants!$A:$A,0))=0,0,INDEX(Constants!B:B,MATCH(($I95/12),Constants!$A:$A,0)))),0),"")</f>
        <v/>
      </c>
      <c r="AR95" s="146" t="str">
        <f>IFERROR(_xlfn.IFNA(IF($BA95="No",0,IF(INDEX(Constants!C:C,MATCH(($I95/12),Constants!$A:$A,0))=0,0,INDEX(Constants!C:C,MATCH(($I95/12),Constants!$A:$A,0)))),0),"")</f>
        <v/>
      </c>
      <c r="AS95" s="146" t="str">
        <f>IFERROR(_xlfn.IFNA(IF($BA95="No",0,IF(INDEX(Constants!D:D,MATCH(($I95/12),Constants!$A:$A,0))=0,0,INDEX(Constants!D:D,MATCH(($I95/12),Constants!$A:$A,0)))),0),"")</f>
        <v/>
      </c>
      <c r="AT95" s="146" t="str">
        <f>IFERROR(_xlfn.IFNA(IF($BA95="No",0,IF(INDEX(Constants!E:E,MATCH(($I95/12),Constants!$A:$A,0))=0,0,INDEX(Constants!E:E,MATCH(($I95/12),Constants!$A:$A,0)))),0),"")</f>
        <v/>
      </c>
      <c r="AU95" s="146" t="str">
        <f>IFERROR(_xlfn.IFNA(IF($BA95="No",0,IF(INDEX(Constants!F:F,MATCH(($I95/12),Constants!$A:$A,0))=0,0,INDEX(Constants!F:F,MATCH(($I95/12),Constants!$A:$A,0)))),0),"")</f>
        <v/>
      </c>
      <c r="AV95" s="146" t="str">
        <f>IFERROR(_xlfn.IFNA(IF($BA95="No",0,IF(INDEX(Constants!G:G,MATCH(($I95/12),Constants!$A:$A,0))=0,0,INDEX(Constants!G:G,MATCH(($I95/12),Constants!$A:$A,0)))),0),"")</f>
        <v/>
      </c>
      <c r="AW95" s="146" t="str">
        <f>IFERROR(_xlfn.IFNA(IF($BA95="No",0,IF(INDEX(Constants!H:H,MATCH(($I95/12),Constants!$A:$A,0))=0,0,INDEX(Constants!H:H,MATCH(($I95/12),Constants!$A:$A,0)))),0),"")</f>
        <v/>
      </c>
      <c r="AX95" s="146" t="str">
        <f>IFERROR(_xlfn.IFNA(IF($BA95="No",0,IF(INDEX(Constants!I:I,MATCH(($I95/12),Constants!$A:$A,0))=0,0,INDEX(Constants!I:I,MATCH(($I95/12),Constants!$A:$A,0)))),0),"")</f>
        <v/>
      </c>
      <c r="AY95" s="146" t="str">
        <f>IFERROR(_xlfn.IFNA(IF($BA95="No",0,IF(INDEX(Constants!J:J,MATCH(($I95/12),Constants!$A:$A,0))=0,0,INDEX(Constants!J:J,MATCH(($I95/12),Constants!$A:$A,0)))),0),"")</f>
        <v/>
      </c>
      <c r="AZ95" s="146" t="str">
        <f>IFERROR(_xlfn.IFNA(IF($BA95="No",0,IF(INDEX(Constants!K:K,MATCH(($I95/12),Constants!$A:$A,0))=0,0,INDEX(Constants!K:K,MATCH(($I95/12),Constants!$A:$A,0)))),0),"")</f>
        <v/>
      </c>
      <c r="BA95" s="147" t="str">
        <f>_xlfn.IFNA(INDEX(Producer!$L:$L,MATCH($D95,Producer!$A:$A,0)),"")</f>
        <v/>
      </c>
      <c r="BB95" s="146" t="str">
        <f>IFERROR(IF(AQ95=0,"",IF(($I95/12)=15,_xlfn.CONCAT(Constants!$N$7,TEXT(DATE(YEAR(H95)-(($I95/12)-3),MONTH(H95),DAY(H95)),"dd/mm/yyyy"),", ",Constants!$P$7,TEXT(DATE(YEAR(H95)-(($I95/12)-8),MONTH(H95),DAY(H95)),"dd/mm/yyyy"),", ",Constants!$T$7,TEXT(DATE(YEAR(H95)-(($I95/12)-11),MONTH(H95),DAY(H95)),"dd/mm/yyyy"),", ",Constants!$V$7,TEXT(DATE(YEAR(H95)-(($I95/12)-13),MONTH(H95),DAY(H95)),"dd/mm/yyyy"),", ",Constants!$W$7,TEXT($H95,"dd/mm/yyyy")),IF(($I95/12)=10,_xlfn.CONCAT(Constants!$N$6,TEXT(DATE(YEAR(H95)-(($I95/12)-2),MONTH(H95),DAY(H95)),"dd/mm/yyyy"),", ",Constants!$P$6,TEXT(DATE(YEAR(H95)-(($I95/12)-6),MONTH(H95),DAY(H95)),"dd/mm/yyyy"),", ",Constants!$T$6,TEXT(DATE(YEAR(H95)-(($I95/12)-8),MONTH(H95),DAY(H95)),"dd/mm/yyyy"),", ",Constants!$V$6,TEXT(DATE(YEAR(H95)-(($I95/12)-9),MONTH(H95),DAY(H95)),"dd/mm/yyyy"),", ",Constants!$W$6,TEXT($H95,"dd/mm/yyyy")),IF(($I95/12)=5,_xlfn.CONCAT(Constants!$N$5,TEXT(DATE(YEAR(H95)-(($I95/12)-1),MONTH(H95),DAY(H95)),"dd/mm/yyyy"),", ",Constants!$O$5,TEXT(DATE(YEAR(H95)-(($I95/12)-2),MONTH(H95),DAY(H95)),"dd/mm/yyyy"),", ",Constants!$P$5,TEXT(DATE(YEAR(H95)-(($I95/12)-3),MONTH(H95),DAY(H95)),"dd/mm/yyyy"),", ",Constants!$Q$5,TEXT(DATE(YEAR(H95)-(($I95/12)-4),MONTH(H95),DAY(H95)),"dd/mm/yyyy"),", ",Constants!$R$5,TEXT($H95,"dd/mm/yyyy")),IF(($I95/12)=3,_xlfn.CONCAT(Constants!$N$4,TEXT(DATE(YEAR(H95)-(($I95/12)-1),MONTH(H95),DAY(H95)),"dd/mm/yyyy"),", ",Constants!$O$4,TEXT(DATE(YEAR(H95)-(($I95/12)-2),MONTH(H95),DAY(H95)),"dd/mm/yyyy"),", ",Constants!$P$4,TEXT($H95,"dd/mm/yyyy")),IF(($I95/12)=2,_xlfn.CONCAT(Constants!$N$3,TEXT(DATE(YEAR(H95)-(($I95/12)-1),MONTH(H95),DAY(H95)),"dd/mm/yyyy"),", ",Constants!$O$3,TEXT($H95,"dd/mm/yyyy")),IF(($I95/12)=1,_xlfn.CONCAT(Constants!$N$2,TEXT($H95,"dd/mm/yyyy")),"Update Constants"))))))),"")</f>
        <v/>
      </c>
      <c r="BC95" s="147" t="str">
        <f>_xlfn.IFNA(VALUE(INDEX(Producer!$K:$K,MATCH($D95,Producer!$A:$A,0))),"")</f>
        <v/>
      </c>
      <c r="BD95" s="147" t="str">
        <f>_xlfn.IFNA(INDEX(Producer!$I:$I,MATCH($D95,Producer!$A:$A,0)),"")</f>
        <v/>
      </c>
      <c r="BE95" s="147" t="str">
        <f t="shared" si="36"/>
        <v/>
      </c>
      <c r="BF95" s="147"/>
      <c r="BG95" s="147"/>
      <c r="BH95" s="151" t="str">
        <f>_xlfn.IFNA(INDEX(Constants!$B:$B,MATCH(BC95,Constants!A:A,0)),"")</f>
        <v/>
      </c>
      <c r="BI95" s="147" t="str">
        <f>IF(LEFT(B95,15)="Limited Company",Constants!$D$16,IFERROR(_xlfn.IFNA(IF(C95="Residential",IF(BK95&lt;75,INDEX(Constants!$B:$B,MATCH(VALUE(60)/100,Constants!$A:$A,0)),INDEX(Constants!$B:$B,MATCH(VALUE(BK95)/100,Constants!$A:$A,0))),IF(BK95&lt;60,INDEX(Constants!$C:$C,MATCH(VALUE(60)/100,Constants!$A:$A,0)),INDEX(Constants!$C:$C,MATCH(VALUE(BK95)/100,Constants!$A:$A,0)))),""),""))</f>
        <v/>
      </c>
      <c r="BJ95" s="147" t="str">
        <f t="shared" si="37"/>
        <v/>
      </c>
      <c r="BK95" s="147" t="str">
        <f>_xlfn.IFNA(VALUE(INDEX(Producer!$E:$E,MATCH($D95,Producer!$A:$A,0)))*100,"")</f>
        <v/>
      </c>
      <c r="BL95" s="146" t="str">
        <f>_xlfn.IFNA(IF(IFERROR(FIND("Part &amp; Part",B95),-10)&gt;0,"PP",IF(OR(LEFT(B95,25)="Residential Interest Only",INDEX(Producer!$P:$P,MATCH($D95,Producer!$A:$A,0))="IO",INDEX(Producer!$P:$P,MATCH($D95,Producer!$A:$A,0))="Retirement Interest Only"),"IO",IF($C95="BuyToLet","CI, IO","CI"))),"")</f>
        <v/>
      </c>
      <c r="BM95" s="152" t="str">
        <f>_xlfn.IFNA(IF(BL95="IO",100%,IF(AND(INDEX(Producer!$P:$P,MATCH($D95,Producer!$A:$A,0))="Residential Interest Only Part &amp; Part",BK95=75),80%,IF(C95="BuyToLet",100%,IF(BL95="Interest Only",100%,IF(AND(INDEX(Producer!$P:$P,MATCH($D95,Producer!$A:$A,0))="Residential Interest Only Part &amp; Part",BK95=60),100%,""))))),"")</f>
        <v/>
      </c>
      <c r="BN95" s="218" t="str">
        <f>_xlfn.IFNA(IF(VALUE(INDEX(Producer!$H:$H,MATCH($D95,Producer!$A:$A,0)))=0,"",VALUE(INDEX(Producer!$H:$H,MATCH($D95,Producer!$A:$A,0)))),"")</f>
        <v/>
      </c>
      <c r="BO95" s="153"/>
      <c r="BP95" s="153"/>
      <c r="BQ95" s="219" t="str">
        <f t="shared" si="38"/>
        <v/>
      </c>
      <c r="BR95" s="146"/>
      <c r="BS95" s="146"/>
      <c r="BT95" s="146"/>
      <c r="BU95" s="146"/>
      <c r="BV95" s="219" t="str">
        <f t="shared" si="39"/>
        <v/>
      </c>
      <c r="BW95" s="146"/>
      <c r="BX95" s="146"/>
      <c r="BY95" s="146" t="str">
        <f t="shared" si="40"/>
        <v/>
      </c>
      <c r="BZ95" s="146" t="str">
        <f t="shared" si="41"/>
        <v/>
      </c>
      <c r="CA95" s="146" t="str">
        <f t="shared" si="42"/>
        <v/>
      </c>
      <c r="CB95" s="146" t="str">
        <f t="shared" si="43"/>
        <v/>
      </c>
      <c r="CC95" s="146" t="str">
        <f>_xlfn.IFNA(IF(INDEX(Producer!$P:$P,MATCH($D95,Producer!$A:$A,0))="Help to Buy","Only available","No"),"")</f>
        <v/>
      </c>
      <c r="CD95" s="146" t="str">
        <f>_xlfn.IFNA(IF(INDEX(Producer!$P:$P,MATCH($D95,Producer!$A:$A,0))="Shared Ownership","Only available","No"),"")</f>
        <v/>
      </c>
      <c r="CE95" s="146" t="str">
        <f>_xlfn.IFNA(IF(INDEX(Producer!$P:$P,MATCH($D95,Producer!$A:$A,0))="Right to Buy","Only available","No"),"")</f>
        <v/>
      </c>
      <c r="CF95" s="146" t="str">
        <f t="shared" si="44"/>
        <v/>
      </c>
      <c r="CG95" s="146" t="str">
        <f>_xlfn.IFNA(IF(INDEX(Producer!$P:$P,MATCH($D95,Producer!$A:$A,0))="Retirement Interest Only","Only available","No"),"")</f>
        <v/>
      </c>
      <c r="CH95" s="146" t="str">
        <f t="shared" si="45"/>
        <v/>
      </c>
      <c r="CI95" s="146" t="str">
        <f>_xlfn.IFNA(IF(INDEX(Producer!$P:$P,MATCH($D95,Producer!$A:$A,0))="Intermediary Holiday Let","Only available","No"),"")</f>
        <v/>
      </c>
      <c r="CJ95" s="146" t="str">
        <f t="shared" si="46"/>
        <v/>
      </c>
      <c r="CK95" s="146" t="str">
        <f>_xlfn.IFNA(IF(OR(INDEX(Producer!$P:$P,MATCH($D95,Producer!$A:$A,0))="Intermediary Small HMO",INDEX(Producer!$P:$P,MATCH($D95,Producer!$A:$A,0))="Intermediary Large HMO"),"Only available","No"),"")</f>
        <v/>
      </c>
      <c r="CL95" s="146" t="str">
        <f t="shared" si="47"/>
        <v/>
      </c>
      <c r="CM95" s="146" t="str">
        <f t="shared" si="48"/>
        <v/>
      </c>
      <c r="CN95" s="146" t="str">
        <f t="shared" si="49"/>
        <v/>
      </c>
      <c r="CO95" s="146" t="str">
        <f t="shared" si="50"/>
        <v/>
      </c>
      <c r="CP95" s="146" t="str">
        <f t="shared" si="51"/>
        <v/>
      </c>
      <c r="CQ95" s="146" t="str">
        <f t="shared" si="52"/>
        <v/>
      </c>
      <c r="CR95" s="146" t="str">
        <f t="shared" si="53"/>
        <v/>
      </c>
      <c r="CS95" s="146" t="str">
        <f t="shared" si="54"/>
        <v/>
      </c>
      <c r="CT95" s="146" t="str">
        <f t="shared" si="55"/>
        <v/>
      </c>
      <c r="CU95" s="146"/>
    </row>
    <row r="96" spans="1:99" ht="16.399999999999999" customHeight="1" x14ac:dyDescent="0.35">
      <c r="A96" s="145" t="str">
        <f t="shared" si="28"/>
        <v/>
      </c>
      <c r="B96" s="145" t="str">
        <f>_xlfn.IFNA(_xlfn.CONCAT(INDEX(Producer!$P:$P,MATCH($D96,Producer!$A:$A,0))," ",IF(INDEX(Producer!$N:$N,MATCH($D96,Producer!$A:$A,0))="Yes","Green ",""),IF(AND(INDEX(Producer!$L:$L,MATCH($D96,Producer!$A:$A,0))="No",INDEX(Producer!$C:$C,MATCH($D96,Producer!$A:$A,0))="Fixed"),"Flexit ",""),INDEX(Producer!$B:$B,MATCH($D96,Producer!$A:$A,0))," Year ",INDEX(Producer!$C:$C,MATCH($D96,Producer!$A:$A,0))," ",VALUE(INDEX(Producer!$E:$E,MATCH($D96,Producer!$A:$A,0)))*100,"% LTV",IF(INDEX(Producer!$N:$N,MATCH($D96,Producer!$A:$A,0))="Yes"," (EPC A-C)","")," - ",IF(INDEX(Producer!$D:$D,MATCH($D96,Producer!$A:$A,0))="DLY","Daily","Annual")),"")</f>
        <v/>
      </c>
      <c r="C96" s="146" t="str">
        <f>_xlfn.IFNA(INDEX(Producer!$Q:$Q,MATCH($D96,Producer!$A:$A,0)),"")</f>
        <v/>
      </c>
      <c r="D96" s="146" t="str">
        <f>IFERROR(VALUE(MID(Producer!$R$2,IF($D95="",1/0,FIND(_xlfn.CONCAT($D94,$D95),Producer!$R$2)+10),5)),"")</f>
        <v/>
      </c>
      <c r="E96" s="146" t="str">
        <f t="shared" si="29"/>
        <v/>
      </c>
      <c r="F96" s="146"/>
      <c r="G96" s="147" t="str">
        <f>_xlfn.IFNA(VALUE(INDEX(Producer!$F:$F,MATCH($D96,Producer!$A:$A,0)))*100,"")</f>
        <v/>
      </c>
      <c r="H96" s="216" t="str">
        <f>_xlfn.IFNA(IFERROR(DATEVALUE(INDEX(Producer!$M:$M,MATCH($D96,Producer!$A:$A,0))),(INDEX(Producer!$M:$M,MATCH($D96,Producer!$A:$A,0)))),"")</f>
        <v/>
      </c>
      <c r="I96" s="217" t="str">
        <f>_xlfn.IFNA(VALUE(INDEX(Producer!$B:$B,MATCH($D96,Producer!$A:$A,0)))*12,"")</f>
        <v/>
      </c>
      <c r="J96" s="146" t="str">
        <f>_xlfn.IFNA(IF(C96="Residential",IF(VALUE(INDEX(Producer!$B:$B,MATCH($D96,Producer!$A:$A,0)))&lt;5,Constants!$C$10,""),IF(VALUE(INDEX(Producer!$B:$B,MATCH($D96,Producer!$A:$A,0)))&lt;5,Constants!$C$11,"")),"")</f>
        <v/>
      </c>
      <c r="K96" s="216" t="str">
        <f>_xlfn.IFNA(IF(($I96)&lt;60,DATE(YEAR(H96)+(5-VALUE(INDEX(Producer!$B:$B,MATCH($D96,Producer!$A:$A,0)))),MONTH(H96),DAY(H96)),""),"")</f>
        <v/>
      </c>
      <c r="L96" s="153" t="str">
        <f t="shared" si="30"/>
        <v/>
      </c>
      <c r="M96" s="146"/>
      <c r="N96" s="148"/>
      <c r="O96" s="148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 t="str">
        <f>IF(D96="","",IF(C96="Residential",Constants!$B$10,Constants!$B$11))</f>
        <v/>
      </c>
      <c r="AL96" s="146" t="str">
        <f t="shared" si="31"/>
        <v/>
      </c>
      <c r="AM96" s="206" t="str">
        <f t="shared" si="32"/>
        <v/>
      </c>
      <c r="AN96" s="146" t="str">
        <f t="shared" si="33"/>
        <v/>
      </c>
      <c r="AO96" s="149" t="str">
        <f t="shared" si="34"/>
        <v/>
      </c>
      <c r="AP96" s="150" t="str">
        <f t="shared" si="35"/>
        <v/>
      </c>
      <c r="AQ96" s="146" t="str">
        <f>IFERROR(_xlfn.IFNA(IF($BA96="No",0,IF(INDEX(Constants!B:B,MATCH(($I96/12),Constants!$A:$A,0))=0,0,INDEX(Constants!B:B,MATCH(($I96/12),Constants!$A:$A,0)))),0),"")</f>
        <v/>
      </c>
      <c r="AR96" s="146" t="str">
        <f>IFERROR(_xlfn.IFNA(IF($BA96="No",0,IF(INDEX(Constants!C:C,MATCH(($I96/12),Constants!$A:$A,0))=0,0,INDEX(Constants!C:C,MATCH(($I96/12),Constants!$A:$A,0)))),0),"")</f>
        <v/>
      </c>
      <c r="AS96" s="146" t="str">
        <f>IFERROR(_xlfn.IFNA(IF($BA96="No",0,IF(INDEX(Constants!D:D,MATCH(($I96/12),Constants!$A:$A,0))=0,0,INDEX(Constants!D:D,MATCH(($I96/12),Constants!$A:$A,0)))),0),"")</f>
        <v/>
      </c>
      <c r="AT96" s="146" t="str">
        <f>IFERROR(_xlfn.IFNA(IF($BA96="No",0,IF(INDEX(Constants!E:E,MATCH(($I96/12),Constants!$A:$A,0))=0,0,INDEX(Constants!E:E,MATCH(($I96/12),Constants!$A:$A,0)))),0),"")</f>
        <v/>
      </c>
      <c r="AU96" s="146" t="str">
        <f>IFERROR(_xlfn.IFNA(IF($BA96="No",0,IF(INDEX(Constants!F:F,MATCH(($I96/12),Constants!$A:$A,0))=0,0,INDEX(Constants!F:F,MATCH(($I96/12),Constants!$A:$A,0)))),0),"")</f>
        <v/>
      </c>
      <c r="AV96" s="146" t="str">
        <f>IFERROR(_xlfn.IFNA(IF($BA96="No",0,IF(INDEX(Constants!G:G,MATCH(($I96/12),Constants!$A:$A,0))=0,0,INDEX(Constants!G:G,MATCH(($I96/12),Constants!$A:$A,0)))),0),"")</f>
        <v/>
      </c>
      <c r="AW96" s="146" t="str">
        <f>IFERROR(_xlfn.IFNA(IF($BA96="No",0,IF(INDEX(Constants!H:H,MATCH(($I96/12),Constants!$A:$A,0))=0,0,INDEX(Constants!H:H,MATCH(($I96/12),Constants!$A:$A,0)))),0),"")</f>
        <v/>
      </c>
      <c r="AX96" s="146" t="str">
        <f>IFERROR(_xlfn.IFNA(IF($BA96="No",0,IF(INDEX(Constants!I:I,MATCH(($I96/12),Constants!$A:$A,0))=0,0,INDEX(Constants!I:I,MATCH(($I96/12),Constants!$A:$A,0)))),0),"")</f>
        <v/>
      </c>
      <c r="AY96" s="146" t="str">
        <f>IFERROR(_xlfn.IFNA(IF($BA96="No",0,IF(INDEX(Constants!J:J,MATCH(($I96/12),Constants!$A:$A,0))=0,0,INDEX(Constants!J:J,MATCH(($I96/12),Constants!$A:$A,0)))),0),"")</f>
        <v/>
      </c>
      <c r="AZ96" s="146" t="str">
        <f>IFERROR(_xlfn.IFNA(IF($BA96="No",0,IF(INDEX(Constants!K:K,MATCH(($I96/12),Constants!$A:$A,0))=0,0,INDEX(Constants!K:K,MATCH(($I96/12),Constants!$A:$A,0)))),0),"")</f>
        <v/>
      </c>
      <c r="BA96" s="147" t="str">
        <f>_xlfn.IFNA(INDEX(Producer!$L:$L,MATCH($D96,Producer!$A:$A,0)),"")</f>
        <v/>
      </c>
      <c r="BB96" s="146" t="str">
        <f>IFERROR(IF(AQ96=0,"",IF(($I96/12)=15,_xlfn.CONCAT(Constants!$N$7,TEXT(DATE(YEAR(H96)-(($I96/12)-3),MONTH(H96),DAY(H96)),"dd/mm/yyyy"),", ",Constants!$P$7,TEXT(DATE(YEAR(H96)-(($I96/12)-8),MONTH(H96),DAY(H96)),"dd/mm/yyyy"),", ",Constants!$T$7,TEXT(DATE(YEAR(H96)-(($I96/12)-11),MONTH(H96),DAY(H96)),"dd/mm/yyyy"),", ",Constants!$V$7,TEXT(DATE(YEAR(H96)-(($I96/12)-13),MONTH(H96),DAY(H96)),"dd/mm/yyyy"),", ",Constants!$W$7,TEXT($H96,"dd/mm/yyyy")),IF(($I96/12)=10,_xlfn.CONCAT(Constants!$N$6,TEXT(DATE(YEAR(H96)-(($I96/12)-2),MONTH(H96),DAY(H96)),"dd/mm/yyyy"),", ",Constants!$P$6,TEXT(DATE(YEAR(H96)-(($I96/12)-6),MONTH(H96),DAY(H96)),"dd/mm/yyyy"),", ",Constants!$T$6,TEXT(DATE(YEAR(H96)-(($I96/12)-8),MONTH(H96),DAY(H96)),"dd/mm/yyyy"),", ",Constants!$V$6,TEXT(DATE(YEAR(H96)-(($I96/12)-9),MONTH(H96),DAY(H96)),"dd/mm/yyyy"),", ",Constants!$W$6,TEXT($H96,"dd/mm/yyyy")),IF(($I96/12)=5,_xlfn.CONCAT(Constants!$N$5,TEXT(DATE(YEAR(H96)-(($I96/12)-1),MONTH(H96),DAY(H96)),"dd/mm/yyyy"),", ",Constants!$O$5,TEXT(DATE(YEAR(H96)-(($I96/12)-2),MONTH(H96),DAY(H96)),"dd/mm/yyyy"),", ",Constants!$P$5,TEXT(DATE(YEAR(H96)-(($I96/12)-3),MONTH(H96),DAY(H96)),"dd/mm/yyyy"),", ",Constants!$Q$5,TEXT(DATE(YEAR(H96)-(($I96/12)-4),MONTH(H96),DAY(H96)),"dd/mm/yyyy"),", ",Constants!$R$5,TEXT($H96,"dd/mm/yyyy")),IF(($I96/12)=3,_xlfn.CONCAT(Constants!$N$4,TEXT(DATE(YEAR(H96)-(($I96/12)-1),MONTH(H96),DAY(H96)),"dd/mm/yyyy"),", ",Constants!$O$4,TEXT(DATE(YEAR(H96)-(($I96/12)-2),MONTH(H96),DAY(H96)),"dd/mm/yyyy"),", ",Constants!$P$4,TEXT($H96,"dd/mm/yyyy")),IF(($I96/12)=2,_xlfn.CONCAT(Constants!$N$3,TEXT(DATE(YEAR(H96)-(($I96/12)-1),MONTH(H96),DAY(H96)),"dd/mm/yyyy"),", ",Constants!$O$3,TEXT($H96,"dd/mm/yyyy")),IF(($I96/12)=1,_xlfn.CONCAT(Constants!$N$2,TEXT($H96,"dd/mm/yyyy")),"Update Constants"))))))),"")</f>
        <v/>
      </c>
      <c r="BC96" s="147" t="str">
        <f>_xlfn.IFNA(VALUE(INDEX(Producer!$K:$K,MATCH($D96,Producer!$A:$A,0))),"")</f>
        <v/>
      </c>
      <c r="BD96" s="147" t="str">
        <f>_xlfn.IFNA(INDEX(Producer!$I:$I,MATCH($D96,Producer!$A:$A,0)),"")</f>
        <v/>
      </c>
      <c r="BE96" s="147" t="str">
        <f t="shared" si="36"/>
        <v/>
      </c>
      <c r="BF96" s="147"/>
      <c r="BG96" s="147"/>
      <c r="BH96" s="151" t="str">
        <f>_xlfn.IFNA(INDEX(Constants!$B:$B,MATCH(BC96,Constants!A:A,0)),"")</f>
        <v/>
      </c>
      <c r="BI96" s="147" t="str">
        <f>IF(LEFT(B96,15)="Limited Company",Constants!$D$16,IFERROR(_xlfn.IFNA(IF(C96="Residential",IF(BK96&lt;75,INDEX(Constants!$B:$B,MATCH(VALUE(60)/100,Constants!$A:$A,0)),INDEX(Constants!$B:$B,MATCH(VALUE(BK96)/100,Constants!$A:$A,0))),IF(BK96&lt;60,INDEX(Constants!$C:$C,MATCH(VALUE(60)/100,Constants!$A:$A,0)),INDEX(Constants!$C:$C,MATCH(VALUE(BK96)/100,Constants!$A:$A,0)))),""),""))</f>
        <v/>
      </c>
      <c r="BJ96" s="147" t="str">
        <f t="shared" si="37"/>
        <v/>
      </c>
      <c r="BK96" s="147" t="str">
        <f>_xlfn.IFNA(VALUE(INDEX(Producer!$E:$E,MATCH($D96,Producer!$A:$A,0)))*100,"")</f>
        <v/>
      </c>
      <c r="BL96" s="146" t="str">
        <f>_xlfn.IFNA(IF(IFERROR(FIND("Part &amp; Part",B96),-10)&gt;0,"PP",IF(OR(LEFT(B96,25)="Residential Interest Only",INDEX(Producer!$P:$P,MATCH($D96,Producer!$A:$A,0))="IO",INDEX(Producer!$P:$P,MATCH($D96,Producer!$A:$A,0))="Retirement Interest Only"),"IO",IF($C96="BuyToLet","CI, IO","CI"))),"")</f>
        <v/>
      </c>
      <c r="BM96" s="152" t="str">
        <f>_xlfn.IFNA(IF(BL96="IO",100%,IF(AND(INDEX(Producer!$P:$P,MATCH($D96,Producer!$A:$A,0))="Residential Interest Only Part &amp; Part",BK96=75),80%,IF(C96="BuyToLet",100%,IF(BL96="Interest Only",100%,IF(AND(INDEX(Producer!$P:$P,MATCH($D96,Producer!$A:$A,0))="Residential Interest Only Part &amp; Part",BK96=60),100%,""))))),"")</f>
        <v/>
      </c>
      <c r="BN96" s="218" t="str">
        <f>_xlfn.IFNA(IF(VALUE(INDEX(Producer!$H:$H,MATCH($D96,Producer!$A:$A,0)))=0,"",VALUE(INDEX(Producer!$H:$H,MATCH($D96,Producer!$A:$A,0)))),"")</f>
        <v/>
      </c>
      <c r="BO96" s="153"/>
      <c r="BP96" s="153"/>
      <c r="BQ96" s="219" t="str">
        <f t="shared" si="38"/>
        <v/>
      </c>
      <c r="BR96" s="146"/>
      <c r="BS96" s="146"/>
      <c r="BT96" s="146"/>
      <c r="BU96" s="146"/>
      <c r="BV96" s="219" t="str">
        <f t="shared" si="39"/>
        <v/>
      </c>
      <c r="BW96" s="146"/>
      <c r="BX96" s="146"/>
      <c r="BY96" s="146" t="str">
        <f t="shared" si="40"/>
        <v/>
      </c>
      <c r="BZ96" s="146" t="str">
        <f t="shared" si="41"/>
        <v/>
      </c>
      <c r="CA96" s="146" t="str">
        <f t="shared" si="42"/>
        <v/>
      </c>
      <c r="CB96" s="146" t="str">
        <f t="shared" si="43"/>
        <v/>
      </c>
      <c r="CC96" s="146" t="str">
        <f>_xlfn.IFNA(IF(INDEX(Producer!$P:$P,MATCH($D96,Producer!$A:$A,0))="Help to Buy","Only available","No"),"")</f>
        <v/>
      </c>
      <c r="CD96" s="146" t="str">
        <f>_xlfn.IFNA(IF(INDEX(Producer!$P:$P,MATCH($D96,Producer!$A:$A,0))="Shared Ownership","Only available","No"),"")</f>
        <v/>
      </c>
      <c r="CE96" s="146" t="str">
        <f>_xlfn.IFNA(IF(INDEX(Producer!$P:$P,MATCH($D96,Producer!$A:$A,0))="Right to Buy","Only available","No"),"")</f>
        <v/>
      </c>
      <c r="CF96" s="146" t="str">
        <f t="shared" si="44"/>
        <v/>
      </c>
      <c r="CG96" s="146" t="str">
        <f>_xlfn.IFNA(IF(INDEX(Producer!$P:$P,MATCH($D96,Producer!$A:$A,0))="Retirement Interest Only","Only available","No"),"")</f>
        <v/>
      </c>
      <c r="CH96" s="146" t="str">
        <f t="shared" si="45"/>
        <v/>
      </c>
      <c r="CI96" s="146" t="str">
        <f>_xlfn.IFNA(IF(INDEX(Producer!$P:$P,MATCH($D96,Producer!$A:$A,0))="Intermediary Holiday Let","Only available","No"),"")</f>
        <v/>
      </c>
      <c r="CJ96" s="146" t="str">
        <f t="shared" si="46"/>
        <v/>
      </c>
      <c r="CK96" s="146" t="str">
        <f>_xlfn.IFNA(IF(OR(INDEX(Producer!$P:$P,MATCH($D96,Producer!$A:$A,0))="Intermediary Small HMO",INDEX(Producer!$P:$P,MATCH($D96,Producer!$A:$A,0))="Intermediary Large HMO"),"Only available","No"),"")</f>
        <v/>
      </c>
      <c r="CL96" s="146" t="str">
        <f t="shared" si="47"/>
        <v/>
      </c>
      <c r="CM96" s="146" t="str">
        <f t="shared" si="48"/>
        <v/>
      </c>
      <c r="CN96" s="146" t="str">
        <f t="shared" si="49"/>
        <v/>
      </c>
      <c r="CO96" s="146" t="str">
        <f t="shared" si="50"/>
        <v/>
      </c>
      <c r="CP96" s="146" t="str">
        <f t="shared" si="51"/>
        <v/>
      </c>
      <c r="CQ96" s="146" t="str">
        <f t="shared" si="52"/>
        <v/>
      </c>
      <c r="CR96" s="146" t="str">
        <f t="shared" si="53"/>
        <v/>
      </c>
      <c r="CS96" s="146" t="str">
        <f t="shared" si="54"/>
        <v/>
      </c>
      <c r="CT96" s="146" t="str">
        <f t="shared" si="55"/>
        <v/>
      </c>
      <c r="CU96" s="146"/>
    </row>
    <row r="97" spans="1:99" ht="16.399999999999999" customHeight="1" x14ac:dyDescent="0.35">
      <c r="A97" s="145" t="str">
        <f t="shared" si="28"/>
        <v/>
      </c>
      <c r="B97" s="145" t="str">
        <f>_xlfn.IFNA(_xlfn.CONCAT(INDEX(Producer!$P:$P,MATCH($D97,Producer!$A:$A,0))," ",IF(INDEX(Producer!$N:$N,MATCH($D97,Producer!$A:$A,0))="Yes","Green ",""),IF(AND(INDEX(Producer!$L:$L,MATCH($D97,Producer!$A:$A,0))="No",INDEX(Producer!$C:$C,MATCH($D97,Producer!$A:$A,0))="Fixed"),"Flexit ",""),INDEX(Producer!$B:$B,MATCH($D97,Producer!$A:$A,0))," Year ",INDEX(Producer!$C:$C,MATCH($D97,Producer!$A:$A,0))," ",VALUE(INDEX(Producer!$E:$E,MATCH($D97,Producer!$A:$A,0)))*100,"% LTV",IF(INDEX(Producer!$N:$N,MATCH($D97,Producer!$A:$A,0))="Yes"," (EPC A-C)","")," - ",IF(INDEX(Producer!$D:$D,MATCH($D97,Producer!$A:$A,0))="DLY","Daily","Annual")),"")</f>
        <v/>
      </c>
      <c r="C97" s="146" t="str">
        <f>_xlfn.IFNA(INDEX(Producer!$Q:$Q,MATCH($D97,Producer!$A:$A,0)),"")</f>
        <v/>
      </c>
      <c r="D97" s="146" t="str">
        <f>IFERROR(VALUE(MID(Producer!$R$2,IF($D96="",1/0,FIND(_xlfn.CONCAT($D95,$D96),Producer!$R$2)+10),5)),"")</f>
        <v/>
      </c>
      <c r="E97" s="146" t="str">
        <f t="shared" si="29"/>
        <v/>
      </c>
      <c r="F97" s="146"/>
      <c r="G97" s="147" t="str">
        <f>_xlfn.IFNA(VALUE(INDEX(Producer!$F:$F,MATCH($D97,Producer!$A:$A,0)))*100,"")</f>
        <v/>
      </c>
      <c r="H97" s="216" t="str">
        <f>_xlfn.IFNA(IFERROR(DATEVALUE(INDEX(Producer!$M:$M,MATCH($D97,Producer!$A:$A,0))),(INDEX(Producer!$M:$M,MATCH($D97,Producer!$A:$A,0)))),"")</f>
        <v/>
      </c>
      <c r="I97" s="217" t="str">
        <f>_xlfn.IFNA(VALUE(INDEX(Producer!$B:$B,MATCH($D97,Producer!$A:$A,0)))*12,"")</f>
        <v/>
      </c>
      <c r="J97" s="146" t="str">
        <f>_xlfn.IFNA(IF(C97="Residential",IF(VALUE(INDEX(Producer!$B:$B,MATCH($D97,Producer!$A:$A,0)))&lt;5,Constants!$C$10,""),IF(VALUE(INDEX(Producer!$B:$B,MATCH($D97,Producer!$A:$A,0)))&lt;5,Constants!$C$11,"")),"")</f>
        <v/>
      </c>
      <c r="K97" s="216" t="str">
        <f>_xlfn.IFNA(IF(($I97)&lt;60,DATE(YEAR(H97)+(5-VALUE(INDEX(Producer!$B:$B,MATCH($D97,Producer!$A:$A,0)))),MONTH(H97),DAY(H97)),""),"")</f>
        <v/>
      </c>
      <c r="L97" s="153" t="str">
        <f t="shared" si="30"/>
        <v/>
      </c>
      <c r="M97" s="146"/>
      <c r="N97" s="148"/>
      <c r="O97" s="148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 t="str">
        <f>IF(D97="","",IF(C97="Residential",Constants!$B$10,Constants!$B$11))</f>
        <v/>
      </c>
      <c r="AL97" s="146" t="str">
        <f t="shared" si="31"/>
        <v/>
      </c>
      <c r="AM97" s="206" t="str">
        <f t="shared" si="32"/>
        <v/>
      </c>
      <c r="AN97" s="146" t="str">
        <f t="shared" si="33"/>
        <v/>
      </c>
      <c r="AO97" s="149" t="str">
        <f t="shared" si="34"/>
        <v/>
      </c>
      <c r="AP97" s="150" t="str">
        <f t="shared" si="35"/>
        <v/>
      </c>
      <c r="AQ97" s="146" t="str">
        <f>IFERROR(_xlfn.IFNA(IF($BA97="No",0,IF(INDEX(Constants!B:B,MATCH(($I97/12),Constants!$A:$A,0))=0,0,INDEX(Constants!B:B,MATCH(($I97/12),Constants!$A:$A,0)))),0),"")</f>
        <v/>
      </c>
      <c r="AR97" s="146" t="str">
        <f>IFERROR(_xlfn.IFNA(IF($BA97="No",0,IF(INDEX(Constants!C:C,MATCH(($I97/12),Constants!$A:$A,0))=0,0,INDEX(Constants!C:C,MATCH(($I97/12),Constants!$A:$A,0)))),0),"")</f>
        <v/>
      </c>
      <c r="AS97" s="146" t="str">
        <f>IFERROR(_xlfn.IFNA(IF($BA97="No",0,IF(INDEX(Constants!D:D,MATCH(($I97/12),Constants!$A:$A,0))=0,0,INDEX(Constants!D:D,MATCH(($I97/12),Constants!$A:$A,0)))),0),"")</f>
        <v/>
      </c>
      <c r="AT97" s="146" t="str">
        <f>IFERROR(_xlfn.IFNA(IF($BA97="No",0,IF(INDEX(Constants!E:E,MATCH(($I97/12),Constants!$A:$A,0))=0,0,INDEX(Constants!E:E,MATCH(($I97/12),Constants!$A:$A,0)))),0),"")</f>
        <v/>
      </c>
      <c r="AU97" s="146" t="str">
        <f>IFERROR(_xlfn.IFNA(IF($BA97="No",0,IF(INDEX(Constants!F:F,MATCH(($I97/12),Constants!$A:$A,0))=0,0,INDEX(Constants!F:F,MATCH(($I97/12),Constants!$A:$A,0)))),0),"")</f>
        <v/>
      </c>
      <c r="AV97" s="146" t="str">
        <f>IFERROR(_xlfn.IFNA(IF($BA97="No",0,IF(INDEX(Constants!G:G,MATCH(($I97/12),Constants!$A:$A,0))=0,0,INDEX(Constants!G:G,MATCH(($I97/12),Constants!$A:$A,0)))),0),"")</f>
        <v/>
      </c>
      <c r="AW97" s="146" t="str">
        <f>IFERROR(_xlfn.IFNA(IF($BA97="No",0,IF(INDEX(Constants!H:H,MATCH(($I97/12),Constants!$A:$A,0))=0,0,INDEX(Constants!H:H,MATCH(($I97/12),Constants!$A:$A,0)))),0),"")</f>
        <v/>
      </c>
      <c r="AX97" s="146" t="str">
        <f>IFERROR(_xlfn.IFNA(IF($BA97="No",0,IF(INDEX(Constants!I:I,MATCH(($I97/12),Constants!$A:$A,0))=0,0,INDEX(Constants!I:I,MATCH(($I97/12),Constants!$A:$A,0)))),0),"")</f>
        <v/>
      </c>
      <c r="AY97" s="146" t="str">
        <f>IFERROR(_xlfn.IFNA(IF($BA97="No",0,IF(INDEX(Constants!J:J,MATCH(($I97/12),Constants!$A:$A,0))=0,0,INDEX(Constants!J:J,MATCH(($I97/12),Constants!$A:$A,0)))),0),"")</f>
        <v/>
      </c>
      <c r="AZ97" s="146" t="str">
        <f>IFERROR(_xlfn.IFNA(IF($BA97="No",0,IF(INDEX(Constants!K:K,MATCH(($I97/12),Constants!$A:$A,0))=0,0,INDEX(Constants!K:K,MATCH(($I97/12),Constants!$A:$A,0)))),0),"")</f>
        <v/>
      </c>
      <c r="BA97" s="147" t="str">
        <f>_xlfn.IFNA(INDEX(Producer!$L:$L,MATCH($D97,Producer!$A:$A,0)),"")</f>
        <v/>
      </c>
      <c r="BB97" s="146" t="str">
        <f>IFERROR(IF(AQ97=0,"",IF(($I97/12)=15,_xlfn.CONCAT(Constants!$N$7,TEXT(DATE(YEAR(H97)-(($I97/12)-3),MONTH(H97),DAY(H97)),"dd/mm/yyyy"),", ",Constants!$P$7,TEXT(DATE(YEAR(H97)-(($I97/12)-8),MONTH(H97),DAY(H97)),"dd/mm/yyyy"),", ",Constants!$T$7,TEXT(DATE(YEAR(H97)-(($I97/12)-11),MONTH(H97),DAY(H97)),"dd/mm/yyyy"),", ",Constants!$V$7,TEXT(DATE(YEAR(H97)-(($I97/12)-13),MONTH(H97),DAY(H97)),"dd/mm/yyyy"),", ",Constants!$W$7,TEXT($H97,"dd/mm/yyyy")),IF(($I97/12)=10,_xlfn.CONCAT(Constants!$N$6,TEXT(DATE(YEAR(H97)-(($I97/12)-2),MONTH(H97),DAY(H97)),"dd/mm/yyyy"),", ",Constants!$P$6,TEXT(DATE(YEAR(H97)-(($I97/12)-6),MONTH(H97),DAY(H97)),"dd/mm/yyyy"),", ",Constants!$T$6,TEXT(DATE(YEAR(H97)-(($I97/12)-8),MONTH(H97),DAY(H97)),"dd/mm/yyyy"),", ",Constants!$V$6,TEXT(DATE(YEAR(H97)-(($I97/12)-9),MONTH(H97),DAY(H97)),"dd/mm/yyyy"),", ",Constants!$W$6,TEXT($H97,"dd/mm/yyyy")),IF(($I97/12)=5,_xlfn.CONCAT(Constants!$N$5,TEXT(DATE(YEAR(H97)-(($I97/12)-1),MONTH(H97),DAY(H97)),"dd/mm/yyyy"),", ",Constants!$O$5,TEXT(DATE(YEAR(H97)-(($I97/12)-2),MONTH(H97),DAY(H97)),"dd/mm/yyyy"),", ",Constants!$P$5,TEXT(DATE(YEAR(H97)-(($I97/12)-3),MONTH(H97),DAY(H97)),"dd/mm/yyyy"),", ",Constants!$Q$5,TEXT(DATE(YEAR(H97)-(($I97/12)-4),MONTH(H97),DAY(H97)),"dd/mm/yyyy"),", ",Constants!$R$5,TEXT($H97,"dd/mm/yyyy")),IF(($I97/12)=3,_xlfn.CONCAT(Constants!$N$4,TEXT(DATE(YEAR(H97)-(($I97/12)-1),MONTH(H97),DAY(H97)),"dd/mm/yyyy"),", ",Constants!$O$4,TEXT(DATE(YEAR(H97)-(($I97/12)-2),MONTH(H97),DAY(H97)),"dd/mm/yyyy"),", ",Constants!$P$4,TEXT($H97,"dd/mm/yyyy")),IF(($I97/12)=2,_xlfn.CONCAT(Constants!$N$3,TEXT(DATE(YEAR(H97)-(($I97/12)-1),MONTH(H97),DAY(H97)),"dd/mm/yyyy"),", ",Constants!$O$3,TEXT($H97,"dd/mm/yyyy")),IF(($I97/12)=1,_xlfn.CONCAT(Constants!$N$2,TEXT($H97,"dd/mm/yyyy")),"Update Constants"))))))),"")</f>
        <v/>
      </c>
      <c r="BC97" s="147" t="str">
        <f>_xlfn.IFNA(VALUE(INDEX(Producer!$K:$K,MATCH($D97,Producer!$A:$A,0))),"")</f>
        <v/>
      </c>
      <c r="BD97" s="147" t="str">
        <f>_xlfn.IFNA(INDEX(Producer!$I:$I,MATCH($D97,Producer!$A:$A,0)),"")</f>
        <v/>
      </c>
      <c r="BE97" s="147" t="str">
        <f t="shared" si="36"/>
        <v/>
      </c>
      <c r="BF97" s="147"/>
      <c r="BG97" s="147"/>
      <c r="BH97" s="151" t="str">
        <f>_xlfn.IFNA(INDEX(Constants!$B:$B,MATCH(BC97,Constants!A:A,0)),"")</f>
        <v/>
      </c>
      <c r="BI97" s="147" t="str">
        <f>IF(LEFT(B97,15)="Limited Company",Constants!$D$16,IFERROR(_xlfn.IFNA(IF(C97="Residential",IF(BK97&lt;75,INDEX(Constants!$B:$B,MATCH(VALUE(60)/100,Constants!$A:$A,0)),INDEX(Constants!$B:$B,MATCH(VALUE(BK97)/100,Constants!$A:$A,0))),IF(BK97&lt;60,INDEX(Constants!$C:$C,MATCH(VALUE(60)/100,Constants!$A:$A,0)),INDEX(Constants!$C:$C,MATCH(VALUE(BK97)/100,Constants!$A:$A,0)))),""),""))</f>
        <v/>
      </c>
      <c r="BJ97" s="147" t="str">
        <f t="shared" si="37"/>
        <v/>
      </c>
      <c r="BK97" s="147" t="str">
        <f>_xlfn.IFNA(VALUE(INDEX(Producer!$E:$E,MATCH($D97,Producer!$A:$A,0)))*100,"")</f>
        <v/>
      </c>
      <c r="BL97" s="146" t="str">
        <f>_xlfn.IFNA(IF(IFERROR(FIND("Part &amp; Part",B97),-10)&gt;0,"PP",IF(OR(LEFT(B97,25)="Residential Interest Only",INDEX(Producer!$P:$P,MATCH($D97,Producer!$A:$A,0))="IO",INDEX(Producer!$P:$P,MATCH($D97,Producer!$A:$A,0))="Retirement Interest Only"),"IO",IF($C97="BuyToLet","CI, IO","CI"))),"")</f>
        <v/>
      </c>
      <c r="BM97" s="152" t="str">
        <f>_xlfn.IFNA(IF(BL97="IO",100%,IF(AND(INDEX(Producer!$P:$P,MATCH($D97,Producer!$A:$A,0))="Residential Interest Only Part &amp; Part",BK97=75),80%,IF(C97="BuyToLet",100%,IF(BL97="Interest Only",100%,IF(AND(INDEX(Producer!$P:$P,MATCH($D97,Producer!$A:$A,0))="Residential Interest Only Part &amp; Part",BK97=60),100%,""))))),"")</f>
        <v/>
      </c>
      <c r="BN97" s="218" t="str">
        <f>_xlfn.IFNA(IF(VALUE(INDEX(Producer!$H:$H,MATCH($D97,Producer!$A:$A,0)))=0,"",VALUE(INDEX(Producer!$H:$H,MATCH($D97,Producer!$A:$A,0)))),"")</f>
        <v/>
      </c>
      <c r="BO97" s="153"/>
      <c r="BP97" s="153"/>
      <c r="BQ97" s="219" t="str">
        <f t="shared" si="38"/>
        <v/>
      </c>
      <c r="BR97" s="146"/>
      <c r="BS97" s="146"/>
      <c r="BT97" s="146"/>
      <c r="BU97" s="146"/>
      <c r="BV97" s="219" t="str">
        <f t="shared" si="39"/>
        <v/>
      </c>
      <c r="BW97" s="146"/>
      <c r="BX97" s="146"/>
      <c r="BY97" s="146" t="str">
        <f t="shared" si="40"/>
        <v/>
      </c>
      <c r="BZ97" s="146" t="str">
        <f t="shared" si="41"/>
        <v/>
      </c>
      <c r="CA97" s="146" t="str">
        <f t="shared" si="42"/>
        <v/>
      </c>
      <c r="CB97" s="146" t="str">
        <f t="shared" si="43"/>
        <v/>
      </c>
      <c r="CC97" s="146" t="str">
        <f>_xlfn.IFNA(IF(INDEX(Producer!$P:$P,MATCH($D97,Producer!$A:$A,0))="Help to Buy","Only available","No"),"")</f>
        <v/>
      </c>
      <c r="CD97" s="146" t="str">
        <f>_xlfn.IFNA(IF(INDEX(Producer!$P:$P,MATCH($D97,Producer!$A:$A,0))="Shared Ownership","Only available","No"),"")</f>
        <v/>
      </c>
      <c r="CE97" s="146" t="str">
        <f>_xlfn.IFNA(IF(INDEX(Producer!$P:$P,MATCH($D97,Producer!$A:$A,0))="Right to Buy","Only available","No"),"")</f>
        <v/>
      </c>
      <c r="CF97" s="146" t="str">
        <f t="shared" si="44"/>
        <v/>
      </c>
      <c r="CG97" s="146" t="str">
        <f>_xlfn.IFNA(IF(INDEX(Producer!$P:$P,MATCH($D97,Producer!$A:$A,0))="Retirement Interest Only","Only available","No"),"")</f>
        <v/>
      </c>
      <c r="CH97" s="146" t="str">
        <f t="shared" si="45"/>
        <v/>
      </c>
      <c r="CI97" s="146" t="str">
        <f>_xlfn.IFNA(IF(INDEX(Producer!$P:$P,MATCH($D97,Producer!$A:$A,0))="Intermediary Holiday Let","Only available","No"),"")</f>
        <v/>
      </c>
      <c r="CJ97" s="146" t="str">
        <f t="shared" si="46"/>
        <v/>
      </c>
      <c r="CK97" s="146" t="str">
        <f>_xlfn.IFNA(IF(OR(INDEX(Producer!$P:$P,MATCH($D97,Producer!$A:$A,0))="Intermediary Small HMO",INDEX(Producer!$P:$P,MATCH($D97,Producer!$A:$A,0))="Intermediary Large HMO"),"Only available","No"),"")</f>
        <v/>
      </c>
      <c r="CL97" s="146" t="str">
        <f t="shared" si="47"/>
        <v/>
      </c>
      <c r="CM97" s="146" t="str">
        <f t="shared" si="48"/>
        <v/>
      </c>
      <c r="CN97" s="146" t="str">
        <f t="shared" si="49"/>
        <v/>
      </c>
      <c r="CO97" s="146" t="str">
        <f t="shared" si="50"/>
        <v/>
      </c>
      <c r="CP97" s="146" t="str">
        <f t="shared" si="51"/>
        <v/>
      </c>
      <c r="CQ97" s="146" t="str">
        <f t="shared" si="52"/>
        <v/>
      </c>
      <c r="CR97" s="146" t="str">
        <f t="shared" si="53"/>
        <v/>
      </c>
      <c r="CS97" s="146" t="str">
        <f t="shared" si="54"/>
        <v/>
      </c>
      <c r="CT97" s="146" t="str">
        <f t="shared" si="55"/>
        <v/>
      </c>
      <c r="CU97" s="146"/>
    </row>
    <row r="98" spans="1:99" ht="16.399999999999999" customHeight="1" x14ac:dyDescent="0.35">
      <c r="A98" s="145" t="str">
        <f t="shared" si="28"/>
        <v/>
      </c>
      <c r="B98" s="145" t="str">
        <f>_xlfn.IFNA(_xlfn.CONCAT(INDEX(Producer!$P:$P,MATCH($D98,Producer!$A:$A,0))," ",IF(INDEX(Producer!$N:$N,MATCH($D98,Producer!$A:$A,0))="Yes","Green ",""),IF(AND(INDEX(Producer!$L:$L,MATCH($D98,Producer!$A:$A,0))="No",INDEX(Producer!$C:$C,MATCH($D98,Producer!$A:$A,0))="Fixed"),"Flexit ",""),INDEX(Producer!$B:$B,MATCH($D98,Producer!$A:$A,0))," Year ",INDEX(Producer!$C:$C,MATCH($D98,Producer!$A:$A,0))," ",VALUE(INDEX(Producer!$E:$E,MATCH($D98,Producer!$A:$A,0)))*100,"% LTV",IF(INDEX(Producer!$N:$N,MATCH($D98,Producer!$A:$A,0))="Yes"," (EPC A-C)","")," - ",IF(INDEX(Producer!$D:$D,MATCH($D98,Producer!$A:$A,0))="DLY","Daily","Annual")),"")</f>
        <v/>
      </c>
      <c r="C98" s="146" t="str">
        <f>_xlfn.IFNA(INDEX(Producer!$Q:$Q,MATCH($D98,Producer!$A:$A,0)),"")</f>
        <v/>
      </c>
      <c r="D98" s="146" t="str">
        <f>IFERROR(VALUE(MID(Producer!$R$2,IF($D97="",1/0,FIND(_xlfn.CONCAT($D96,$D97),Producer!$R$2)+10),5)),"")</f>
        <v/>
      </c>
      <c r="E98" s="146" t="str">
        <f t="shared" si="29"/>
        <v/>
      </c>
      <c r="F98" s="146"/>
      <c r="G98" s="147" t="str">
        <f>_xlfn.IFNA(VALUE(INDEX(Producer!$F:$F,MATCH($D98,Producer!$A:$A,0)))*100,"")</f>
        <v/>
      </c>
      <c r="H98" s="216" t="str">
        <f>_xlfn.IFNA(IFERROR(DATEVALUE(INDEX(Producer!$M:$M,MATCH($D98,Producer!$A:$A,0))),(INDEX(Producer!$M:$M,MATCH($D98,Producer!$A:$A,0)))),"")</f>
        <v/>
      </c>
      <c r="I98" s="217" t="str">
        <f>_xlfn.IFNA(VALUE(INDEX(Producer!$B:$B,MATCH($D98,Producer!$A:$A,0)))*12,"")</f>
        <v/>
      </c>
      <c r="J98" s="146" t="str">
        <f>_xlfn.IFNA(IF(C98="Residential",IF(VALUE(INDEX(Producer!$B:$B,MATCH($D98,Producer!$A:$A,0)))&lt;5,Constants!$C$10,""),IF(VALUE(INDEX(Producer!$B:$B,MATCH($D98,Producer!$A:$A,0)))&lt;5,Constants!$C$11,"")),"")</f>
        <v/>
      </c>
      <c r="K98" s="216" t="str">
        <f>_xlfn.IFNA(IF(($I98)&lt;60,DATE(YEAR(H98)+(5-VALUE(INDEX(Producer!$B:$B,MATCH($D98,Producer!$A:$A,0)))),MONTH(H98),DAY(H98)),""),"")</f>
        <v/>
      </c>
      <c r="L98" s="153" t="str">
        <f t="shared" si="30"/>
        <v/>
      </c>
      <c r="M98" s="146"/>
      <c r="N98" s="148"/>
      <c r="O98" s="148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 t="str">
        <f>IF(D98="","",IF(C98="Residential",Constants!$B$10,Constants!$B$11))</f>
        <v/>
      </c>
      <c r="AL98" s="146" t="str">
        <f t="shared" si="31"/>
        <v/>
      </c>
      <c r="AM98" s="206" t="str">
        <f t="shared" si="32"/>
        <v/>
      </c>
      <c r="AN98" s="146" t="str">
        <f t="shared" si="33"/>
        <v/>
      </c>
      <c r="AO98" s="149" t="str">
        <f t="shared" si="34"/>
        <v/>
      </c>
      <c r="AP98" s="150" t="str">
        <f t="shared" si="35"/>
        <v/>
      </c>
      <c r="AQ98" s="146" t="str">
        <f>IFERROR(_xlfn.IFNA(IF($BA98="No",0,IF(INDEX(Constants!B:B,MATCH(($I98/12),Constants!$A:$A,0))=0,0,INDEX(Constants!B:B,MATCH(($I98/12),Constants!$A:$A,0)))),0),"")</f>
        <v/>
      </c>
      <c r="AR98" s="146" t="str">
        <f>IFERROR(_xlfn.IFNA(IF($BA98="No",0,IF(INDEX(Constants!C:C,MATCH(($I98/12),Constants!$A:$A,0))=0,0,INDEX(Constants!C:C,MATCH(($I98/12),Constants!$A:$A,0)))),0),"")</f>
        <v/>
      </c>
      <c r="AS98" s="146" t="str">
        <f>IFERROR(_xlfn.IFNA(IF($BA98="No",0,IF(INDEX(Constants!D:D,MATCH(($I98/12),Constants!$A:$A,0))=0,0,INDEX(Constants!D:D,MATCH(($I98/12),Constants!$A:$A,0)))),0),"")</f>
        <v/>
      </c>
      <c r="AT98" s="146" t="str">
        <f>IFERROR(_xlfn.IFNA(IF($BA98="No",0,IF(INDEX(Constants!E:E,MATCH(($I98/12),Constants!$A:$A,0))=0,0,INDEX(Constants!E:E,MATCH(($I98/12),Constants!$A:$A,0)))),0),"")</f>
        <v/>
      </c>
      <c r="AU98" s="146" t="str">
        <f>IFERROR(_xlfn.IFNA(IF($BA98="No",0,IF(INDEX(Constants!F:F,MATCH(($I98/12),Constants!$A:$A,0))=0,0,INDEX(Constants!F:F,MATCH(($I98/12),Constants!$A:$A,0)))),0),"")</f>
        <v/>
      </c>
      <c r="AV98" s="146" t="str">
        <f>IFERROR(_xlfn.IFNA(IF($BA98="No",0,IF(INDEX(Constants!G:G,MATCH(($I98/12),Constants!$A:$A,0))=0,0,INDEX(Constants!G:G,MATCH(($I98/12),Constants!$A:$A,0)))),0),"")</f>
        <v/>
      </c>
      <c r="AW98" s="146" t="str">
        <f>IFERROR(_xlfn.IFNA(IF($BA98="No",0,IF(INDEX(Constants!H:H,MATCH(($I98/12),Constants!$A:$A,0))=0,0,INDEX(Constants!H:H,MATCH(($I98/12),Constants!$A:$A,0)))),0),"")</f>
        <v/>
      </c>
      <c r="AX98" s="146" t="str">
        <f>IFERROR(_xlfn.IFNA(IF($BA98="No",0,IF(INDEX(Constants!I:I,MATCH(($I98/12),Constants!$A:$A,0))=0,0,INDEX(Constants!I:I,MATCH(($I98/12),Constants!$A:$A,0)))),0),"")</f>
        <v/>
      </c>
      <c r="AY98" s="146" t="str">
        <f>IFERROR(_xlfn.IFNA(IF($BA98="No",0,IF(INDEX(Constants!J:J,MATCH(($I98/12),Constants!$A:$A,0))=0,0,INDEX(Constants!J:J,MATCH(($I98/12),Constants!$A:$A,0)))),0),"")</f>
        <v/>
      </c>
      <c r="AZ98" s="146" t="str">
        <f>IFERROR(_xlfn.IFNA(IF($BA98="No",0,IF(INDEX(Constants!K:K,MATCH(($I98/12),Constants!$A:$A,0))=0,0,INDEX(Constants!K:K,MATCH(($I98/12),Constants!$A:$A,0)))),0),"")</f>
        <v/>
      </c>
      <c r="BA98" s="147" t="str">
        <f>_xlfn.IFNA(INDEX(Producer!$L:$L,MATCH($D98,Producer!$A:$A,0)),"")</f>
        <v/>
      </c>
      <c r="BB98" s="146" t="str">
        <f>IFERROR(IF(AQ98=0,"",IF(($I98/12)=15,_xlfn.CONCAT(Constants!$N$7,TEXT(DATE(YEAR(H98)-(($I98/12)-3),MONTH(H98),DAY(H98)),"dd/mm/yyyy"),", ",Constants!$P$7,TEXT(DATE(YEAR(H98)-(($I98/12)-8),MONTH(H98),DAY(H98)),"dd/mm/yyyy"),", ",Constants!$T$7,TEXT(DATE(YEAR(H98)-(($I98/12)-11),MONTH(H98),DAY(H98)),"dd/mm/yyyy"),", ",Constants!$V$7,TEXT(DATE(YEAR(H98)-(($I98/12)-13),MONTH(H98),DAY(H98)),"dd/mm/yyyy"),", ",Constants!$W$7,TEXT($H98,"dd/mm/yyyy")),IF(($I98/12)=10,_xlfn.CONCAT(Constants!$N$6,TEXT(DATE(YEAR(H98)-(($I98/12)-2),MONTH(H98),DAY(H98)),"dd/mm/yyyy"),", ",Constants!$P$6,TEXT(DATE(YEAR(H98)-(($I98/12)-6),MONTH(H98),DAY(H98)),"dd/mm/yyyy"),", ",Constants!$T$6,TEXT(DATE(YEAR(H98)-(($I98/12)-8),MONTH(H98),DAY(H98)),"dd/mm/yyyy"),", ",Constants!$V$6,TEXT(DATE(YEAR(H98)-(($I98/12)-9),MONTH(H98),DAY(H98)),"dd/mm/yyyy"),", ",Constants!$W$6,TEXT($H98,"dd/mm/yyyy")),IF(($I98/12)=5,_xlfn.CONCAT(Constants!$N$5,TEXT(DATE(YEAR(H98)-(($I98/12)-1),MONTH(H98),DAY(H98)),"dd/mm/yyyy"),", ",Constants!$O$5,TEXT(DATE(YEAR(H98)-(($I98/12)-2),MONTH(H98),DAY(H98)),"dd/mm/yyyy"),", ",Constants!$P$5,TEXT(DATE(YEAR(H98)-(($I98/12)-3),MONTH(H98),DAY(H98)),"dd/mm/yyyy"),", ",Constants!$Q$5,TEXT(DATE(YEAR(H98)-(($I98/12)-4),MONTH(H98),DAY(H98)),"dd/mm/yyyy"),", ",Constants!$R$5,TEXT($H98,"dd/mm/yyyy")),IF(($I98/12)=3,_xlfn.CONCAT(Constants!$N$4,TEXT(DATE(YEAR(H98)-(($I98/12)-1),MONTH(H98),DAY(H98)),"dd/mm/yyyy"),", ",Constants!$O$4,TEXT(DATE(YEAR(H98)-(($I98/12)-2),MONTH(H98),DAY(H98)),"dd/mm/yyyy"),", ",Constants!$P$4,TEXT($H98,"dd/mm/yyyy")),IF(($I98/12)=2,_xlfn.CONCAT(Constants!$N$3,TEXT(DATE(YEAR(H98)-(($I98/12)-1),MONTH(H98),DAY(H98)),"dd/mm/yyyy"),", ",Constants!$O$3,TEXT($H98,"dd/mm/yyyy")),IF(($I98/12)=1,_xlfn.CONCAT(Constants!$N$2,TEXT($H98,"dd/mm/yyyy")),"Update Constants"))))))),"")</f>
        <v/>
      </c>
      <c r="BC98" s="147" t="str">
        <f>_xlfn.IFNA(VALUE(INDEX(Producer!$K:$K,MATCH($D98,Producer!$A:$A,0))),"")</f>
        <v/>
      </c>
      <c r="BD98" s="147" t="str">
        <f>_xlfn.IFNA(INDEX(Producer!$I:$I,MATCH($D98,Producer!$A:$A,0)),"")</f>
        <v/>
      </c>
      <c r="BE98" s="147" t="str">
        <f t="shared" si="36"/>
        <v/>
      </c>
      <c r="BF98" s="147"/>
      <c r="BG98" s="147"/>
      <c r="BH98" s="151" t="str">
        <f>_xlfn.IFNA(INDEX(Constants!$B:$B,MATCH(BC98,Constants!A:A,0)),"")</f>
        <v/>
      </c>
      <c r="BI98" s="147" t="str">
        <f>IF(LEFT(B98,15)="Limited Company",Constants!$D$16,IFERROR(_xlfn.IFNA(IF(C98="Residential",IF(BK98&lt;75,INDEX(Constants!$B:$B,MATCH(VALUE(60)/100,Constants!$A:$A,0)),INDEX(Constants!$B:$B,MATCH(VALUE(BK98)/100,Constants!$A:$A,0))),IF(BK98&lt;60,INDEX(Constants!$C:$C,MATCH(VALUE(60)/100,Constants!$A:$A,0)),INDEX(Constants!$C:$C,MATCH(VALUE(BK98)/100,Constants!$A:$A,0)))),""),""))</f>
        <v/>
      </c>
      <c r="BJ98" s="147" t="str">
        <f t="shared" si="37"/>
        <v/>
      </c>
      <c r="BK98" s="147" t="str">
        <f>_xlfn.IFNA(VALUE(INDEX(Producer!$E:$E,MATCH($D98,Producer!$A:$A,0)))*100,"")</f>
        <v/>
      </c>
      <c r="BL98" s="146" t="str">
        <f>_xlfn.IFNA(IF(IFERROR(FIND("Part &amp; Part",B98),-10)&gt;0,"PP",IF(OR(LEFT(B98,25)="Residential Interest Only",INDEX(Producer!$P:$P,MATCH($D98,Producer!$A:$A,0))="IO",INDEX(Producer!$P:$P,MATCH($D98,Producer!$A:$A,0))="Retirement Interest Only"),"IO",IF($C98="BuyToLet","CI, IO","CI"))),"")</f>
        <v/>
      </c>
      <c r="BM98" s="152" t="str">
        <f>_xlfn.IFNA(IF(BL98="IO",100%,IF(AND(INDEX(Producer!$P:$P,MATCH($D98,Producer!$A:$A,0))="Residential Interest Only Part &amp; Part",BK98=75),80%,IF(C98="BuyToLet",100%,IF(BL98="Interest Only",100%,IF(AND(INDEX(Producer!$P:$P,MATCH($D98,Producer!$A:$A,0))="Residential Interest Only Part &amp; Part",BK98=60),100%,""))))),"")</f>
        <v/>
      </c>
      <c r="BN98" s="218" t="str">
        <f>_xlfn.IFNA(IF(VALUE(INDEX(Producer!$H:$H,MATCH($D98,Producer!$A:$A,0)))=0,"",VALUE(INDEX(Producer!$H:$H,MATCH($D98,Producer!$A:$A,0)))),"")</f>
        <v/>
      </c>
      <c r="BO98" s="153"/>
      <c r="BP98" s="153"/>
      <c r="BQ98" s="219" t="str">
        <f t="shared" si="38"/>
        <v/>
      </c>
      <c r="BR98" s="146"/>
      <c r="BS98" s="146"/>
      <c r="BT98" s="146"/>
      <c r="BU98" s="146"/>
      <c r="BV98" s="219" t="str">
        <f t="shared" si="39"/>
        <v/>
      </c>
      <c r="BW98" s="146"/>
      <c r="BX98" s="146"/>
      <c r="BY98" s="146" t="str">
        <f t="shared" si="40"/>
        <v/>
      </c>
      <c r="BZ98" s="146" t="str">
        <f t="shared" si="41"/>
        <v/>
      </c>
      <c r="CA98" s="146" t="str">
        <f t="shared" si="42"/>
        <v/>
      </c>
      <c r="CB98" s="146" t="str">
        <f t="shared" si="43"/>
        <v/>
      </c>
      <c r="CC98" s="146" t="str">
        <f>_xlfn.IFNA(IF(INDEX(Producer!$P:$P,MATCH($D98,Producer!$A:$A,0))="Help to Buy","Only available","No"),"")</f>
        <v/>
      </c>
      <c r="CD98" s="146" t="str">
        <f>_xlfn.IFNA(IF(INDEX(Producer!$P:$P,MATCH($D98,Producer!$A:$A,0))="Shared Ownership","Only available","No"),"")</f>
        <v/>
      </c>
      <c r="CE98" s="146" t="str">
        <f>_xlfn.IFNA(IF(INDEX(Producer!$P:$P,MATCH($D98,Producer!$A:$A,0))="Right to Buy","Only available","No"),"")</f>
        <v/>
      </c>
      <c r="CF98" s="146" t="str">
        <f t="shared" si="44"/>
        <v/>
      </c>
      <c r="CG98" s="146" t="str">
        <f>_xlfn.IFNA(IF(INDEX(Producer!$P:$P,MATCH($D98,Producer!$A:$A,0))="Retirement Interest Only","Only available","No"),"")</f>
        <v/>
      </c>
      <c r="CH98" s="146" t="str">
        <f t="shared" si="45"/>
        <v/>
      </c>
      <c r="CI98" s="146" t="str">
        <f>_xlfn.IFNA(IF(INDEX(Producer!$P:$P,MATCH($D98,Producer!$A:$A,0))="Intermediary Holiday Let","Only available","No"),"")</f>
        <v/>
      </c>
      <c r="CJ98" s="146" t="str">
        <f t="shared" si="46"/>
        <v/>
      </c>
      <c r="CK98" s="146" t="str">
        <f>_xlfn.IFNA(IF(OR(INDEX(Producer!$P:$P,MATCH($D98,Producer!$A:$A,0))="Intermediary Small HMO",INDEX(Producer!$P:$P,MATCH($D98,Producer!$A:$A,0))="Intermediary Large HMO"),"Only available","No"),"")</f>
        <v/>
      </c>
      <c r="CL98" s="146" t="str">
        <f t="shared" si="47"/>
        <v/>
      </c>
      <c r="CM98" s="146" t="str">
        <f t="shared" si="48"/>
        <v/>
      </c>
      <c r="CN98" s="146" t="str">
        <f t="shared" si="49"/>
        <v/>
      </c>
      <c r="CO98" s="146" t="str">
        <f t="shared" si="50"/>
        <v/>
      </c>
      <c r="CP98" s="146" t="str">
        <f t="shared" si="51"/>
        <v/>
      </c>
      <c r="CQ98" s="146" t="str">
        <f t="shared" si="52"/>
        <v/>
      </c>
      <c r="CR98" s="146" t="str">
        <f t="shared" si="53"/>
        <v/>
      </c>
      <c r="CS98" s="146" t="str">
        <f t="shared" si="54"/>
        <v/>
      </c>
      <c r="CT98" s="146" t="str">
        <f t="shared" si="55"/>
        <v/>
      </c>
      <c r="CU98" s="146"/>
    </row>
    <row r="99" spans="1:99" ht="16.399999999999999" customHeight="1" x14ac:dyDescent="0.35">
      <c r="A99" s="145" t="str">
        <f t="shared" si="28"/>
        <v/>
      </c>
      <c r="B99" s="145" t="str">
        <f>_xlfn.IFNA(_xlfn.CONCAT(INDEX(Producer!$P:$P,MATCH($D99,Producer!$A:$A,0))," ",IF(INDEX(Producer!$N:$N,MATCH($D99,Producer!$A:$A,0))="Yes","Green ",""),IF(AND(INDEX(Producer!$L:$L,MATCH($D99,Producer!$A:$A,0))="No",INDEX(Producer!$C:$C,MATCH($D99,Producer!$A:$A,0))="Fixed"),"Flexit ",""),INDEX(Producer!$B:$B,MATCH($D99,Producer!$A:$A,0))," Year ",INDEX(Producer!$C:$C,MATCH($D99,Producer!$A:$A,0))," ",VALUE(INDEX(Producer!$E:$E,MATCH($D99,Producer!$A:$A,0)))*100,"% LTV",IF(INDEX(Producer!$N:$N,MATCH($D99,Producer!$A:$A,0))="Yes"," (EPC A-C)","")," - ",IF(INDEX(Producer!$D:$D,MATCH($D99,Producer!$A:$A,0))="DLY","Daily","Annual")),"")</f>
        <v/>
      </c>
      <c r="C99" s="146" t="str">
        <f>_xlfn.IFNA(INDEX(Producer!$Q:$Q,MATCH($D99,Producer!$A:$A,0)),"")</f>
        <v/>
      </c>
      <c r="D99" s="146" t="str">
        <f>IFERROR(VALUE(MID(Producer!$R$2,IF($D98="",1/0,FIND(_xlfn.CONCAT($D97,$D98),Producer!$R$2)+10),5)),"")</f>
        <v/>
      </c>
      <c r="E99" s="146" t="str">
        <f t="shared" si="29"/>
        <v/>
      </c>
      <c r="F99" s="146"/>
      <c r="G99" s="147" t="str">
        <f>_xlfn.IFNA(VALUE(INDEX(Producer!$F:$F,MATCH($D99,Producer!$A:$A,0)))*100,"")</f>
        <v/>
      </c>
      <c r="H99" s="216" t="str">
        <f>_xlfn.IFNA(IFERROR(DATEVALUE(INDEX(Producer!$M:$M,MATCH($D99,Producer!$A:$A,0))),(INDEX(Producer!$M:$M,MATCH($D99,Producer!$A:$A,0)))),"")</f>
        <v/>
      </c>
      <c r="I99" s="217" t="str">
        <f>_xlfn.IFNA(VALUE(INDEX(Producer!$B:$B,MATCH($D99,Producer!$A:$A,0)))*12,"")</f>
        <v/>
      </c>
      <c r="J99" s="146" t="str">
        <f>_xlfn.IFNA(IF(C99="Residential",IF(VALUE(INDEX(Producer!$B:$B,MATCH($D99,Producer!$A:$A,0)))&lt;5,Constants!$C$10,""),IF(VALUE(INDEX(Producer!$B:$B,MATCH($D99,Producer!$A:$A,0)))&lt;5,Constants!$C$11,"")),"")</f>
        <v/>
      </c>
      <c r="K99" s="216" t="str">
        <f>_xlfn.IFNA(IF(($I99)&lt;60,DATE(YEAR(H99)+(5-VALUE(INDEX(Producer!$B:$B,MATCH($D99,Producer!$A:$A,0)))),MONTH(H99),DAY(H99)),""),"")</f>
        <v/>
      </c>
      <c r="L99" s="153" t="str">
        <f t="shared" si="30"/>
        <v/>
      </c>
      <c r="M99" s="146"/>
      <c r="N99" s="148"/>
      <c r="O99" s="148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 t="str">
        <f>IF(D99="","",IF(C99="Residential",Constants!$B$10,Constants!$B$11))</f>
        <v/>
      </c>
      <c r="AL99" s="146" t="str">
        <f t="shared" si="31"/>
        <v/>
      </c>
      <c r="AM99" s="206" t="str">
        <f t="shared" si="32"/>
        <v/>
      </c>
      <c r="AN99" s="146" t="str">
        <f t="shared" si="33"/>
        <v/>
      </c>
      <c r="AO99" s="149" t="str">
        <f t="shared" si="34"/>
        <v/>
      </c>
      <c r="AP99" s="150" t="str">
        <f t="shared" si="35"/>
        <v/>
      </c>
      <c r="AQ99" s="146" t="str">
        <f>IFERROR(_xlfn.IFNA(IF($BA99="No",0,IF(INDEX(Constants!B:B,MATCH(($I99/12),Constants!$A:$A,0))=0,0,INDEX(Constants!B:B,MATCH(($I99/12),Constants!$A:$A,0)))),0),"")</f>
        <v/>
      </c>
      <c r="AR99" s="146" t="str">
        <f>IFERROR(_xlfn.IFNA(IF($BA99="No",0,IF(INDEX(Constants!C:C,MATCH(($I99/12),Constants!$A:$A,0))=0,0,INDEX(Constants!C:C,MATCH(($I99/12),Constants!$A:$A,0)))),0),"")</f>
        <v/>
      </c>
      <c r="AS99" s="146" t="str">
        <f>IFERROR(_xlfn.IFNA(IF($BA99="No",0,IF(INDEX(Constants!D:D,MATCH(($I99/12),Constants!$A:$A,0))=0,0,INDEX(Constants!D:D,MATCH(($I99/12),Constants!$A:$A,0)))),0),"")</f>
        <v/>
      </c>
      <c r="AT99" s="146" t="str">
        <f>IFERROR(_xlfn.IFNA(IF($BA99="No",0,IF(INDEX(Constants!E:E,MATCH(($I99/12),Constants!$A:$A,0))=0,0,INDEX(Constants!E:E,MATCH(($I99/12),Constants!$A:$A,0)))),0),"")</f>
        <v/>
      </c>
      <c r="AU99" s="146" t="str">
        <f>IFERROR(_xlfn.IFNA(IF($BA99="No",0,IF(INDEX(Constants!F:F,MATCH(($I99/12),Constants!$A:$A,0))=0,0,INDEX(Constants!F:F,MATCH(($I99/12),Constants!$A:$A,0)))),0),"")</f>
        <v/>
      </c>
      <c r="AV99" s="146" t="str">
        <f>IFERROR(_xlfn.IFNA(IF($BA99="No",0,IF(INDEX(Constants!G:G,MATCH(($I99/12),Constants!$A:$A,0))=0,0,INDEX(Constants!G:G,MATCH(($I99/12),Constants!$A:$A,0)))),0),"")</f>
        <v/>
      </c>
      <c r="AW99" s="146" t="str">
        <f>IFERROR(_xlfn.IFNA(IF($BA99="No",0,IF(INDEX(Constants!H:H,MATCH(($I99/12),Constants!$A:$A,0))=0,0,INDEX(Constants!H:H,MATCH(($I99/12),Constants!$A:$A,0)))),0),"")</f>
        <v/>
      </c>
      <c r="AX99" s="146" t="str">
        <f>IFERROR(_xlfn.IFNA(IF($BA99="No",0,IF(INDEX(Constants!I:I,MATCH(($I99/12),Constants!$A:$A,0))=0,0,INDEX(Constants!I:I,MATCH(($I99/12),Constants!$A:$A,0)))),0),"")</f>
        <v/>
      </c>
      <c r="AY99" s="146" t="str">
        <f>IFERROR(_xlfn.IFNA(IF($BA99="No",0,IF(INDEX(Constants!J:J,MATCH(($I99/12),Constants!$A:$A,0))=0,0,INDEX(Constants!J:J,MATCH(($I99/12),Constants!$A:$A,0)))),0),"")</f>
        <v/>
      </c>
      <c r="AZ99" s="146" t="str">
        <f>IFERROR(_xlfn.IFNA(IF($BA99="No",0,IF(INDEX(Constants!K:K,MATCH(($I99/12),Constants!$A:$A,0))=0,0,INDEX(Constants!K:K,MATCH(($I99/12),Constants!$A:$A,0)))),0),"")</f>
        <v/>
      </c>
      <c r="BA99" s="147" t="str">
        <f>_xlfn.IFNA(INDEX(Producer!$L:$L,MATCH($D99,Producer!$A:$A,0)),"")</f>
        <v/>
      </c>
      <c r="BB99" s="146" t="str">
        <f>IFERROR(IF(AQ99=0,"",IF(($I99/12)=15,_xlfn.CONCAT(Constants!$N$7,TEXT(DATE(YEAR(H99)-(($I99/12)-3),MONTH(H99),DAY(H99)),"dd/mm/yyyy"),", ",Constants!$P$7,TEXT(DATE(YEAR(H99)-(($I99/12)-8),MONTH(H99),DAY(H99)),"dd/mm/yyyy"),", ",Constants!$T$7,TEXT(DATE(YEAR(H99)-(($I99/12)-11),MONTH(H99),DAY(H99)),"dd/mm/yyyy"),", ",Constants!$V$7,TEXT(DATE(YEAR(H99)-(($I99/12)-13),MONTH(H99),DAY(H99)),"dd/mm/yyyy"),", ",Constants!$W$7,TEXT($H99,"dd/mm/yyyy")),IF(($I99/12)=10,_xlfn.CONCAT(Constants!$N$6,TEXT(DATE(YEAR(H99)-(($I99/12)-2),MONTH(H99),DAY(H99)),"dd/mm/yyyy"),", ",Constants!$P$6,TEXT(DATE(YEAR(H99)-(($I99/12)-6),MONTH(H99),DAY(H99)),"dd/mm/yyyy"),", ",Constants!$T$6,TEXT(DATE(YEAR(H99)-(($I99/12)-8),MONTH(H99),DAY(H99)),"dd/mm/yyyy"),", ",Constants!$V$6,TEXT(DATE(YEAR(H99)-(($I99/12)-9),MONTH(H99),DAY(H99)),"dd/mm/yyyy"),", ",Constants!$W$6,TEXT($H99,"dd/mm/yyyy")),IF(($I99/12)=5,_xlfn.CONCAT(Constants!$N$5,TEXT(DATE(YEAR(H99)-(($I99/12)-1),MONTH(H99),DAY(H99)),"dd/mm/yyyy"),", ",Constants!$O$5,TEXT(DATE(YEAR(H99)-(($I99/12)-2),MONTH(H99),DAY(H99)),"dd/mm/yyyy"),", ",Constants!$P$5,TEXT(DATE(YEAR(H99)-(($I99/12)-3),MONTH(H99),DAY(H99)),"dd/mm/yyyy"),", ",Constants!$Q$5,TEXT(DATE(YEAR(H99)-(($I99/12)-4),MONTH(H99),DAY(H99)),"dd/mm/yyyy"),", ",Constants!$R$5,TEXT($H99,"dd/mm/yyyy")),IF(($I99/12)=3,_xlfn.CONCAT(Constants!$N$4,TEXT(DATE(YEAR(H99)-(($I99/12)-1),MONTH(H99),DAY(H99)),"dd/mm/yyyy"),", ",Constants!$O$4,TEXT(DATE(YEAR(H99)-(($I99/12)-2),MONTH(H99),DAY(H99)),"dd/mm/yyyy"),", ",Constants!$P$4,TEXT($H99,"dd/mm/yyyy")),IF(($I99/12)=2,_xlfn.CONCAT(Constants!$N$3,TEXT(DATE(YEAR(H99)-(($I99/12)-1),MONTH(H99),DAY(H99)),"dd/mm/yyyy"),", ",Constants!$O$3,TEXT($H99,"dd/mm/yyyy")),IF(($I99/12)=1,_xlfn.CONCAT(Constants!$N$2,TEXT($H99,"dd/mm/yyyy")),"Update Constants"))))))),"")</f>
        <v/>
      </c>
      <c r="BC99" s="147" t="str">
        <f>_xlfn.IFNA(VALUE(INDEX(Producer!$K:$K,MATCH($D99,Producer!$A:$A,0))),"")</f>
        <v/>
      </c>
      <c r="BD99" s="147" t="str">
        <f>_xlfn.IFNA(INDEX(Producer!$I:$I,MATCH($D99,Producer!$A:$A,0)),"")</f>
        <v/>
      </c>
      <c r="BE99" s="147" t="str">
        <f t="shared" si="36"/>
        <v/>
      </c>
      <c r="BF99" s="147"/>
      <c r="BG99" s="147"/>
      <c r="BH99" s="151" t="str">
        <f>_xlfn.IFNA(INDEX(Constants!$B:$B,MATCH(BC99,Constants!A:A,0)),"")</f>
        <v/>
      </c>
      <c r="BI99" s="147" t="str">
        <f>IF(LEFT(B99,15)="Limited Company",Constants!$D$16,IFERROR(_xlfn.IFNA(IF(C99="Residential",IF(BK99&lt;75,INDEX(Constants!$B:$B,MATCH(VALUE(60)/100,Constants!$A:$A,0)),INDEX(Constants!$B:$B,MATCH(VALUE(BK99)/100,Constants!$A:$A,0))),IF(BK99&lt;60,INDEX(Constants!$C:$C,MATCH(VALUE(60)/100,Constants!$A:$A,0)),INDEX(Constants!$C:$C,MATCH(VALUE(BK99)/100,Constants!$A:$A,0)))),""),""))</f>
        <v/>
      </c>
      <c r="BJ99" s="147" t="str">
        <f t="shared" si="37"/>
        <v/>
      </c>
      <c r="BK99" s="147" t="str">
        <f>_xlfn.IFNA(VALUE(INDEX(Producer!$E:$E,MATCH($D99,Producer!$A:$A,0)))*100,"")</f>
        <v/>
      </c>
      <c r="BL99" s="146" t="str">
        <f>_xlfn.IFNA(IF(IFERROR(FIND("Part &amp; Part",B99),-10)&gt;0,"PP",IF(OR(LEFT(B99,25)="Residential Interest Only",INDEX(Producer!$P:$P,MATCH($D99,Producer!$A:$A,0))="IO",INDEX(Producer!$P:$P,MATCH($D99,Producer!$A:$A,0))="Retirement Interest Only"),"IO",IF($C99="BuyToLet","CI, IO","CI"))),"")</f>
        <v/>
      </c>
      <c r="BM99" s="152" t="str">
        <f>_xlfn.IFNA(IF(BL99="IO",100%,IF(AND(INDEX(Producer!$P:$P,MATCH($D99,Producer!$A:$A,0))="Residential Interest Only Part &amp; Part",BK99=75),80%,IF(C99="BuyToLet",100%,IF(BL99="Interest Only",100%,IF(AND(INDEX(Producer!$P:$P,MATCH($D99,Producer!$A:$A,0))="Residential Interest Only Part &amp; Part",BK99=60),100%,""))))),"")</f>
        <v/>
      </c>
      <c r="BN99" s="218" t="str">
        <f>_xlfn.IFNA(IF(VALUE(INDEX(Producer!$H:$H,MATCH($D99,Producer!$A:$A,0)))=0,"",VALUE(INDEX(Producer!$H:$H,MATCH($D99,Producer!$A:$A,0)))),"")</f>
        <v/>
      </c>
      <c r="BO99" s="153"/>
      <c r="BP99" s="153"/>
      <c r="BQ99" s="219" t="str">
        <f t="shared" si="38"/>
        <v/>
      </c>
      <c r="BR99" s="146"/>
      <c r="BS99" s="146"/>
      <c r="BT99" s="146"/>
      <c r="BU99" s="146"/>
      <c r="BV99" s="219" t="str">
        <f t="shared" si="39"/>
        <v/>
      </c>
      <c r="BW99" s="146"/>
      <c r="BX99" s="146"/>
      <c r="BY99" s="146" t="str">
        <f t="shared" si="40"/>
        <v/>
      </c>
      <c r="BZ99" s="146" t="str">
        <f t="shared" si="41"/>
        <v/>
      </c>
      <c r="CA99" s="146" t="str">
        <f t="shared" si="42"/>
        <v/>
      </c>
      <c r="CB99" s="146" t="str">
        <f t="shared" si="43"/>
        <v/>
      </c>
      <c r="CC99" s="146" t="str">
        <f>_xlfn.IFNA(IF(INDEX(Producer!$P:$P,MATCH($D99,Producer!$A:$A,0))="Help to Buy","Only available","No"),"")</f>
        <v/>
      </c>
      <c r="CD99" s="146" t="str">
        <f>_xlfn.IFNA(IF(INDEX(Producer!$P:$P,MATCH($D99,Producer!$A:$A,0))="Shared Ownership","Only available","No"),"")</f>
        <v/>
      </c>
      <c r="CE99" s="146" t="str">
        <f>_xlfn.IFNA(IF(INDEX(Producer!$P:$P,MATCH($D99,Producer!$A:$A,0))="Right to Buy","Only available","No"),"")</f>
        <v/>
      </c>
      <c r="CF99" s="146" t="str">
        <f t="shared" si="44"/>
        <v/>
      </c>
      <c r="CG99" s="146" t="str">
        <f>_xlfn.IFNA(IF(INDEX(Producer!$P:$P,MATCH($D99,Producer!$A:$A,0))="Retirement Interest Only","Only available","No"),"")</f>
        <v/>
      </c>
      <c r="CH99" s="146" t="str">
        <f t="shared" si="45"/>
        <v/>
      </c>
      <c r="CI99" s="146" t="str">
        <f>_xlfn.IFNA(IF(INDEX(Producer!$P:$P,MATCH($D99,Producer!$A:$A,0))="Intermediary Holiday Let","Only available","No"),"")</f>
        <v/>
      </c>
      <c r="CJ99" s="146" t="str">
        <f t="shared" si="46"/>
        <v/>
      </c>
      <c r="CK99" s="146" t="str">
        <f>_xlfn.IFNA(IF(OR(INDEX(Producer!$P:$P,MATCH($D99,Producer!$A:$A,0))="Intermediary Small HMO",INDEX(Producer!$P:$P,MATCH($D99,Producer!$A:$A,0))="Intermediary Large HMO"),"Only available","No"),"")</f>
        <v/>
      </c>
      <c r="CL99" s="146" t="str">
        <f t="shared" si="47"/>
        <v/>
      </c>
      <c r="CM99" s="146" t="str">
        <f t="shared" si="48"/>
        <v/>
      </c>
      <c r="CN99" s="146" t="str">
        <f t="shared" si="49"/>
        <v/>
      </c>
      <c r="CO99" s="146" t="str">
        <f t="shared" si="50"/>
        <v/>
      </c>
      <c r="CP99" s="146" t="str">
        <f t="shared" si="51"/>
        <v/>
      </c>
      <c r="CQ99" s="146" t="str">
        <f t="shared" si="52"/>
        <v/>
      </c>
      <c r="CR99" s="146" t="str">
        <f t="shared" si="53"/>
        <v/>
      </c>
      <c r="CS99" s="146" t="str">
        <f t="shared" si="54"/>
        <v/>
      </c>
      <c r="CT99" s="146" t="str">
        <f t="shared" si="55"/>
        <v/>
      </c>
      <c r="CU99" s="146"/>
    </row>
    <row r="100" spans="1:99" ht="16.399999999999999" customHeight="1" x14ac:dyDescent="0.35">
      <c r="A100" s="145" t="str">
        <f t="shared" si="28"/>
        <v/>
      </c>
      <c r="B100" s="145" t="str">
        <f>_xlfn.IFNA(_xlfn.CONCAT(INDEX(Producer!$P:$P,MATCH($D100,Producer!$A:$A,0))," ",IF(INDEX(Producer!$N:$N,MATCH($D100,Producer!$A:$A,0))="Yes","Green ",""),IF(AND(INDEX(Producer!$L:$L,MATCH($D100,Producer!$A:$A,0))="No",INDEX(Producer!$C:$C,MATCH($D100,Producer!$A:$A,0))="Fixed"),"Flexit ",""),INDEX(Producer!$B:$B,MATCH($D100,Producer!$A:$A,0))," Year ",INDEX(Producer!$C:$C,MATCH($D100,Producer!$A:$A,0))," ",VALUE(INDEX(Producer!$E:$E,MATCH($D100,Producer!$A:$A,0)))*100,"% LTV",IF(INDEX(Producer!$N:$N,MATCH($D100,Producer!$A:$A,0))="Yes"," (EPC A-C)","")," - ",IF(INDEX(Producer!$D:$D,MATCH($D100,Producer!$A:$A,0))="DLY","Daily","Annual")),"")</f>
        <v/>
      </c>
      <c r="C100" s="146" t="str">
        <f>_xlfn.IFNA(INDEX(Producer!$Q:$Q,MATCH($D100,Producer!$A:$A,0)),"")</f>
        <v/>
      </c>
      <c r="D100" s="146" t="str">
        <f>IFERROR(VALUE(MID(Producer!$R$2,IF($D99="",1/0,FIND(_xlfn.CONCAT($D98,$D99),Producer!$R$2)+10),5)),"")</f>
        <v/>
      </c>
      <c r="E100" s="146" t="str">
        <f t="shared" si="29"/>
        <v/>
      </c>
      <c r="F100" s="146"/>
      <c r="G100" s="147" t="str">
        <f>_xlfn.IFNA(VALUE(INDEX(Producer!$F:$F,MATCH($D100,Producer!$A:$A,0)))*100,"")</f>
        <v/>
      </c>
      <c r="H100" s="216" t="str">
        <f>_xlfn.IFNA(IFERROR(DATEVALUE(INDEX(Producer!$M:$M,MATCH($D100,Producer!$A:$A,0))),(INDEX(Producer!$M:$M,MATCH($D100,Producer!$A:$A,0)))),"")</f>
        <v/>
      </c>
      <c r="I100" s="217" t="str">
        <f>_xlfn.IFNA(VALUE(INDEX(Producer!$B:$B,MATCH($D100,Producer!$A:$A,0)))*12,"")</f>
        <v/>
      </c>
      <c r="J100" s="146" t="str">
        <f>_xlfn.IFNA(IF(C100="Residential",IF(VALUE(INDEX(Producer!$B:$B,MATCH($D100,Producer!$A:$A,0)))&lt;5,Constants!$C$10,""),IF(VALUE(INDEX(Producer!$B:$B,MATCH($D100,Producer!$A:$A,0)))&lt;5,Constants!$C$11,"")),"")</f>
        <v/>
      </c>
      <c r="K100" s="216" t="str">
        <f>_xlfn.IFNA(IF(($I100)&lt;60,DATE(YEAR(H100)+(5-VALUE(INDEX(Producer!$B:$B,MATCH($D100,Producer!$A:$A,0)))),MONTH(H100),DAY(H100)),""),"")</f>
        <v/>
      </c>
      <c r="L100" s="153" t="str">
        <f t="shared" si="30"/>
        <v/>
      </c>
      <c r="M100" s="146"/>
      <c r="N100" s="148"/>
      <c r="O100" s="148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 t="str">
        <f>IF(D100="","",IF(C100="Residential",Constants!$B$10,Constants!$B$11))</f>
        <v/>
      </c>
      <c r="AL100" s="146" t="str">
        <f t="shared" si="31"/>
        <v/>
      </c>
      <c r="AM100" s="206" t="str">
        <f t="shared" si="32"/>
        <v/>
      </c>
      <c r="AN100" s="146" t="str">
        <f t="shared" si="33"/>
        <v/>
      </c>
      <c r="AO100" s="149" t="str">
        <f t="shared" si="34"/>
        <v/>
      </c>
      <c r="AP100" s="150" t="str">
        <f t="shared" si="35"/>
        <v/>
      </c>
      <c r="AQ100" s="146" t="str">
        <f>IFERROR(_xlfn.IFNA(IF($BA100="No",0,IF(INDEX(Constants!B:B,MATCH(($I100/12),Constants!$A:$A,0))=0,0,INDEX(Constants!B:B,MATCH(($I100/12),Constants!$A:$A,0)))),0),"")</f>
        <v/>
      </c>
      <c r="AR100" s="146" t="str">
        <f>IFERROR(_xlfn.IFNA(IF($BA100="No",0,IF(INDEX(Constants!C:C,MATCH(($I100/12),Constants!$A:$A,0))=0,0,INDEX(Constants!C:C,MATCH(($I100/12),Constants!$A:$A,0)))),0),"")</f>
        <v/>
      </c>
      <c r="AS100" s="146" t="str">
        <f>IFERROR(_xlfn.IFNA(IF($BA100="No",0,IF(INDEX(Constants!D:D,MATCH(($I100/12),Constants!$A:$A,0))=0,0,INDEX(Constants!D:D,MATCH(($I100/12),Constants!$A:$A,0)))),0),"")</f>
        <v/>
      </c>
      <c r="AT100" s="146" t="str">
        <f>IFERROR(_xlfn.IFNA(IF($BA100="No",0,IF(INDEX(Constants!E:E,MATCH(($I100/12),Constants!$A:$A,0))=0,0,INDEX(Constants!E:E,MATCH(($I100/12),Constants!$A:$A,0)))),0),"")</f>
        <v/>
      </c>
      <c r="AU100" s="146" t="str">
        <f>IFERROR(_xlfn.IFNA(IF($BA100="No",0,IF(INDEX(Constants!F:F,MATCH(($I100/12),Constants!$A:$A,0))=0,0,INDEX(Constants!F:F,MATCH(($I100/12),Constants!$A:$A,0)))),0),"")</f>
        <v/>
      </c>
      <c r="AV100" s="146" t="str">
        <f>IFERROR(_xlfn.IFNA(IF($BA100="No",0,IF(INDEX(Constants!G:G,MATCH(($I100/12),Constants!$A:$A,0))=0,0,INDEX(Constants!G:G,MATCH(($I100/12),Constants!$A:$A,0)))),0),"")</f>
        <v/>
      </c>
      <c r="AW100" s="146" t="str">
        <f>IFERROR(_xlfn.IFNA(IF($BA100="No",0,IF(INDEX(Constants!H:H,MATCH(($I100/12),Constants!$A:$A,0))=0,0,INDEX(Constants!H:H,MATCH(($I100/12),Constants!$A:$A,0)))),0),"")</f>
        <v/>
      </c>
      <c r="AX100" s="146" t="str">
        <f>IFERROR(_xlfn.IFNA(IF($BA100="No",0,IF(INDEX(Constants!I:I,MATCH(($I100/12),Constants!$A:$A,0))=0,0,INDEX(Constants!I:I,MATCH(($I100/12),Constants!$A:$A,0)))),0),"")</f>
        <v/>
      </c>
      <c r="AY100" s="146" t="str">
        <f>IFERROR(_xlfn.IFNA(IF($BA100="No",0,IF(INDEX(Constants!J:J,MATCH(($I100/12),Constants!$A:$A,0))=0,0,INDEX(Constants!J:J,MATCH(($I100/12),Constants!$A:$A,0)))),0),"")</f>
        <v/>
      </c>
      <c r="AZ100" s="146" t="str">
        <f>IFERROR(_xlfn.IFNA(IF($BA100="No",0,IF(INDEX(Constants!K:K,MATCH(($I100/12),Constants!$A:$A,0))=0,0,INDEX(Constants!K:K,MATCH(($I100/12),Constants!$A:$A,0)))),0),"")</f>
        <v/>
      </c>
      <c r="BA100" s="147" t="str">
        <f>_xlfn.IFNA(INDEX(Producer!$L:$L,MATCH($D100,Producer!$A:$A,0)),"")</f>
        <v/>
      </c>
      <c r="BB100" s="146" t="str">
        <f>IFERROR(IF(AQ100=0,"",IF(($I100/12)=15,_xlfn.CONCAT(Constants!$N$7,TEXT(DATE(YEAR(H100)-(($I100/12)-3),MONTH(H100),DAY(H100)),"dd/mm/yyyy"),", ",Constants!$P$7,TEXT(DATE(YEAR(H100)-(($I100/12)-8),MONTH(H100),DAY(H100)),"dd/mm/yyyy"),", ",Constants!$T$7,TEXT(DATE(YEAR(H100)-(($I100/12)-11),MONTH(H100),DAY(H100)),"dd/mm/yyyy"),", ",Constants!$V$7,TEXT(DATE(YEAR(H100)-(($I100/12)-13),MONTH(H100),DAY(H100)),"dd/mm/yyyy"),", ",Constants!$W$7,TEXT($H100,"dd/mm/yyyy")),IF(($I100/12)=10,_xlfn.CONCAT(Constants!$N$6,TEXT(DATE(YEAR(H100)-(($I100/12)-2),MONTH(H100),DAY(H100)),"dd/mm/yyyy"),", ",Constants!$P$6,TEXT(DATE(YEAR(H100)-(($I100/12)-6),MONTH(H100),DAY(H100)),"dd/mm/yyyy"),", ",Constants!$T$6,TEXT(DATE(YEAR(H100)-(($I100/12)-8),MONTH(H100),DAY(H100)),"dd/mm/yyyy"),", ",Constants!$V$6,TEXT(DATE(YEAR(H100)-(($I100/12)-9),MONTH(H100),DAY(H100)),"dd/mm/yyyy"),", ",Constants!$W$6,TEXT($H100,"dd/mm/yyyy")),IF(($I100/12)=5,_xlfn.CONCAT(Constants!$N$5,TEXT(DATE(YEAR(H100)-(($I100/12)-1),MONTH(H100),DAY(H100)),"dd/mm/yyyy"),", ",Constants!$O$5,TEXT(DATE(YEAR(H100)-(($I100/12)-2),MONTH(H100),DAY(H100)),"dd/mm/yyyy"),", ",Constants!$P$5,TEXT(DATE(YEAR(H100)-(($I100/12)-3),MONTH(H100),DAY(H100)),"dd/mm/yyyy"),", ",Constants!$Q$5,TEXT(DATE(YEAR(H100)-(($I100/12)-4),MONTH(H100),DAY(H100)),"dd/mm/yyyy"),", ",Constants!$R$5,TEXT($H100,"dd/mm/yyyy")),IF(($I100/12)=3,_xlfn.CONCAT(Constants!$N$4,TEXT(DATE(YEAR(H100)-(($I100/12)-1),MONTH(H100),DAY(H100)),"dd/mm/yyyy"),", ",Constants!$O$4,TEXT(DATE(YEAR(H100)-(($I100/12)-2),MONTH(H100),DAY(H100)),"dd/mm/yyyy"),", ",Constants!$P$4,TEXT($H100,"dd/mm/yyyy")),IF(($I100/12)=2,_xlfn.CONCAT(Constants!$N$3,TEXT(DATE(YEAR(H100)-(($I100/12)-1),MONTH(H100),DAY(H100)),"dd/mm/yyyy"),", ",Constants!$O$3,TEXT($H100,"dd/mm/yyyy")),IF(($I100/12)=1,_xlfn.CONCAT(Constants!$N$2,TEXT($H100,"dd/mm/yyyy")),"Update Constants"))))))),"")</f>
        <v/>
      </c>
      <c r="BC100" s="147" t="str">
        <f>_xlfn.IFNA(VALUE(INDEX(Producer!$K:$K,MATCH($D100,Producer!$A:$A,0))),"")</f>
        <v/>
      </c>
      <c r="BD100" s="147" t="str">
        <f>_xlfn.IFNA(INDEX(Producer!$I:$I,MATCH($D100,Producer!$A:$A,0)),"")</f>
        <v/>
      </c>
      <c r="BE100" s="147" t="str">
        <f t="shared" si="36"/>
        <v/>
      </c>
      <c r="BF100" s="147"/>
      <c r="BG100" s="147"/>
      <c r="BH100" s="151" t="str">
        <f>_xlfn.IFNA(INDEX(Constants!$B:$B,MATCH(BC100,Constants!A:A,0)),"")</f>
        <v/>
      </c>
      <c r="BI100" s="147" t="str">
        <f>IF(LEFT(B100,15)="Limited Company",Constants!$D$16,IFERROR(_xlfn.IFNA(IF(C100="Residential",IF(BK100&lt;75,INDEX(Constants!$B:$B,MATCH(VALUE(60)/100,Constants!$A:$A,0)),INDEX(Constants!$B:$B,MATCH(VALUE(BK100)/100,Constants!$A:$A,0))),IF(BK100&lt;60,INDEX(Constants!$C:$C,MATCH(VALUE(60)/100,Constants!$A:$A,0)),INDEX(Constants!$C:$C,MATCH(VALUE(BK100)/100,Constants!$A:$A,0)))),""),""))</f>
        <v/>
      </c>
      <c r="BJ100" s="147" t="str">
        <f t="shared" si="37"/>
        <v/>
      </c>
      <c r="BK100" s="147" t="str">
        <f>_xlfn.IFNA(VALUE(INDEX(Producer!$E:$E,MATCH($D100,Producer!$A:$A,0)))*100,"")</f>
        <v/>
      </c>
      <c r="BL100" s="146" t="str">
        <f>_xlfn.IFNA(IF(IFERROR(FIND("Part &amp; Part",B100),-10)&gt;0,"PP",IF(OR(LEFT(B100,25)="Residential Interest Only",INDEX(Producer!$P:$P,MATCH($D100,Producer!$A:$A,0))="IO",INDEX(Producer!$P:$P,MATCH($D100,Producer!$A:$A,0))="Retirement Interest Only"),"IO",IF($C100="BuyToLet","CI, IO","CI"))),"")</f>
        <v/>
      </c>
      <c r="BM100" s="152" t="str">
        <f>_xlfn.IFNA(IF(BL100="IO",100%,IF(AND(INDEX(Producer!$P:$P,MATCH($D100,Producer!$A:$A,0))="Residential Interest Only Part &amp; Part",BK100=75),80%,IF(C100="BuyToLet",100%,IF(BL100="Interest Only",100%,IF(AND(INDEX(Producer!$P:$P,MATCH($D100,Producer!$A:$A,0))="Residential Interest Only Part &amp; Part",BK100=60),100%,""))))),"")</f>
        <v/>
      </c>
      <c r="BN100" s="218" t="str">
        <f>_xlfn.IFNA(IF(VALUE(INDEX(Producer!$H:$H,MATCH($D100,Producer!$A:$A,0)))=0,"",VALUE(INDEX(Producer!$H:$H,MATCH($D100,Producer!$A:$A,0)))),"")</f>
        <v/>
      </c>
      <c r="BO100" s="153"/>
      <c r="BP100" s="153"/>
      <c r="BQ100" s="219" t="str">
        <f t="shared" si="38"/>
        <v/>
      </c>
      <c r="BR100" s="146"/>
      <c r="BS100" s="146"/>
      <c r="BT100" s="146"/>
      <c r="BU100" s="146"/>
      <c r="BV100" s="219" t="str">
        <f t="shared" si="39"/>
        <v/>
      </c>
      <c r="BW100" s="146"/>
      <c r="BX100" s="146"/>
      <c r="BY100" s="146" t="str">
        <f t="shared" si="40"/>
        <v/>
      </c>
      <c r="BZ100" s="146" t="str">
        <f t="shared" si="41"/>
        <v/>
      </c>
      <c r="CA100" s="146" t="str">
        <f t="shared" si="42"/>
        <v/>
      </c>
      <c r="CB100" s="146" t="str">
        <f t="shared" si="43"/>
        <v/>
      </c>
      <c r="CC100" s="146" t="str">
        <f>_xlfn.IFNA(IF(INDEX(Producer!$P:$P,MATCH($D100,Producer!$A:$A,0))="Help to Buy","Only available","No"),"")</f>
        <v/>
      </c>
      <c r="CD100" s="146" t="str">
        <f>_xlfn.IFNA(IF(INDEX(Producer!$P:$P,MATCH($D100,Producer!$A:$A,0))="Shared Ownership","Only available","No"),"")</f>
        <v/>
      </c>
      <c r="CE100" s="146" t="str">
        <f>_xlfn.IFNA(IF(INDEX(Producer!$P:$P,MATCH($D100,Producer!$A:$A,0))="Right to Buy","Only available","No"),"")</f>
        <v/>
      </c>
      <c r="CF100" s="146" t="str">
        <f t="shared" si="44"/>
        <v/>
      </c>
      <c r="CG100" s="146" t="str">
        <f>_xlfn.IFNA(IF(INDEX(Producer!$P:$P,MATCH($D100,Producer!$A:$A,0))="Retirement Interest Only","Only available","No"),"")</f>
        <v/>
      </c>
      <c r="CH100" s="146" t="str">
        <f t="shared" si="45"/>
        <v/>
      </c>
      <c r="CI100" s="146" t="str">
        <f>_xlfn.IFNA(IF(INDEX(Producer!$P:$P,MATCH($D100,Producer!$A:$A,0))="Intermediary Holiday Let","Only available","No"),"")</f>
        <v/>
      </c>
      <c r="CJ100" s="146" t="str">
        <f t="shared" si="46"/>
        <v/>
      </c>
      <c r="CK100" s="146" t="str">
        <f>_xlfn.IFNA(IF(OR(INDEX(Producer!$P:$P,MATCH($D100,Producer!$A:$A,0))="Intermediary Small HMO",INDEX(Producer!$P:$P,MATCH($D100,Producer!$A:$A,0))="Intermediary Large HMO"),"Only available","No"),"")</f>
        <v/>
      </c>
      <c r="CL100" s="146" t="str">
        <f t="shared" si="47"/>
        <v/>
      </c>
      <c r="CM100" s="146" t="str">
        <f t="shared" si="48"/>
        <v/>
      </c>
      <c r="CN100" s="146" t="str">
        <f t="shared" si="49"/>
        <v/>
      </c>
      <c r="CO100" s="146" t="str">
        <f t="shared" si="50"/>
        <v/>
      </c>
      <c r="CP100" s="146" t="str">
        <f t="shared" si="51"/>
        <v/>
      </c>
      <c r="CQ100" s="146" t="str">
        <f t="shared" si="52"/>
        <v/>
      </c>
      <c r="CR100" s="146" t="str">
        <f t="shared" si="53"/>
        <v/>
      </c>
      <c r="CS100" s="146" t="str">
        <f t="shared" si="54"/>
        <v/>
      </c>
      <c r="CT100" s="146" t="str">
        <f t="shared" si="55"/>
        <v/>
      </c>
      <c r="CU100" s="146"/>
    </row>
    <row r="101" spans="1:99" ht="16.399999999999999" customHeight="1" x14ac:dyDescent="0.35">
      <c r="A101" s="145" t="str">
        <f t="shared" si="28"/>
        <v/>
      </c>
      <c r="B101" s="145" t="str">
        <f>_xlfn.IFNA(_xlfn.CONCAT(INDEX(Producer!$P:$P,MATCH($D101,Producer!$A:$A,0))," ",IF(INDEX(Producer!$N:$N,MATCH($D101,Producer!$A:$A,0))="Yes","Green ",""),IF(AND(INDEX(Producer!$L:$L,MATCH($D101,Producer!$A:$A,0))="No",INDEX(Producer!$C:$C,MATCH($D101,Producer!$A:$A,0))="Fixed"),"Flexit ",""),INDEX(Producer!$B:$B,MATCH($D101,Producer!$A:$A,0))," Year ",INDEX(Producer!$C:$C,MATCH($D101,Producer!$A:$A,0))," ",VALUE(INDEX(Producer!$E:$E,MATCH($D101,Producer!$A:$A,0)))*100,"% LTV",IF(INDEX(Producer!$N:$N,MATCH($D101,Producer!$A:$A,0))="Yes"," (EPC A-C)","")," - ",IF(INDEX(Producer!$D:$D,MATCH($D101,Producer!$A:$A,0))="DLY","Daily","Annual")),"")</f>
        <v/>
      </c>
      <c r="C101" s="146" t="str">
        <f>_xlfn.IFNA(INDEX(Producer!$Q:$Q,MATCH($D101,Producer!$A:$A,0)),"")</f>
        <v/>
      </c>
      <c r="D101" s="146" t="str">
        <f>IFERROR(VALUE(MID(Producer!$R$2,IF($D100="",1/0,FIND(_xlfn.CONCAT($D99,$D100),Producer!$R$2)+10),5)),"")</f>
        <v/>
      </c>
      <c r="E101" s="146" t="str">
        <f t="shared" si="29"/>
        <v/>
      </c>
      <c r="F101" s="146"/>
      <c r="G101" s="147" t="str">
        <f>_xlfn.IFNA(VALUE(INDEX(Producer!$F:$F,MATCH($D101,Producer!$A:$A,0)))*100,"")</f>
        <v/>
      </c>
      <c r="H101" s="216" t="str">
        <f>_xlfn.IFNA(IFERROR(DATEVALUE(INDEX(Producer!$M:$M,MATCH($D101,Producer!$A:$A,0))),(INDEX(Producer!$M:$M,MATCH($D101,Producer!$A:$A,0)))),"")</f>
        <v/>
      </c>
      <c r="I101" s="217" t="str">
        <f>_xlfn.IFNA(VALUE(INDEX(Producer!$B:$B,MATCH($D101,Producer!$A:$A,0)))*12,"")</f>
        <v/>
      </c>
      <c r="J101" s="146" t="str">
        <f>_xlfn.IFNA(IF(C101="Residential",IF(VALUE(INDEX(Producer!$B:$B,MATCH($D101,Producer!$A:$A,0)))&lt;5,Constants!$C$10,""),IF(VALUE(INDEX(Producer!$B:$B,MATCH($D101,Producer!$A:$A,0)))&lt;5,Constants!$C$11,"")),"")</f>
        <v/>
      </c>
      <c r="K101" s="216" t="str">
        <f>_xlfn.IFNA(IF(($I101)&lt;60,DATE(YEAR(H101)+(5-VALUE(INDEX(Producer!$B:$B,MATCH($D101,Producer!$A:$A,0)))),MONTH(H101),DAY(H101)),""),"")</f>
        <v/>
      </c>
      <c r="L101" s="153" t="str">
        <f t="shared" si="30"/>
        <v/>
      </c>
      <c r="M101" s="146"/>
      <c r="N101" s="148"/>
      <c r="O101" s="148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 t="str">
        <f>IF(D101="","",IF(C101="Residential",Constants!$B$10,Constants!$B$11))</f>
        <v/>
      </c>
      <c r="AL101" s="146" t="str">
        <f t="shared" si="31"/>
        <v/>
      </c>
      <c r="AM101" s="206" t="str">
        <f t="shared" si="32"/>
        <v/>
      </c>
      <c r="AN101" s="146" t="str">
        <f t="shared" si="33"/>
        <v/>
      </c>
      <c r="AO101" s="149" t="str">
        <f t="shared" si="34"/>
        <v/>
      </c>
      <c r="AP101" s="150" t="str">
        <f t="shared" si="35"/>
        <v/>
      </c>
      <c r="AQ101" s="146" t="str">
        <f>IFERROR(_xlfn.IFNA(IF($BA101="No",0,IF(INDEX(Constants!B:B,MATCH(($I101/12),Constants!$A:$A,0))=0,0,INDEX(Constants!B:B,MATCH(($I101/12),Constants!$A:$A,0)))),0),"")</f>
        <v/>
      </c>
      <c r="AR101" s="146" t="str">
        <f>IFERROR(_xlfn.IFNA(IF($BA101="No",0,IF(INDEX(Constants!C:C,MATCH(($I101/12),Constants!$A:$A,0))=0,0,INDEX(Constants!C:C,MATCH(($I101/12),Constants!$A:$A,0)))),0),"")</f>
        <v/>
      </c>
      <c r="AS101" s="146" t="str">
        <f>IFERROR(_xlfn.IFNA(IF($BA101="No",0,IF(INDEX(Constants!D:D,MATCH(($I101/12),Constants!$A:$A,0))=0,0,INDEX(Constants!D:D,MATCH(($I101/12),Constants!$A:$A,0)))),0),"")</f>
        <v/>
      </c>
      <c r="AT101" s="146" t="str">
        <f>IFERROR(_xlfn.IFNA(IF($BA101="No",0,IF(INDEX(Constants!E:E,MATCH(($I101/12),Constants!$A:$A,0))=0,0,INDEX(Constants!E:E,MATCH(($I101/12),Constants!$A:$A,0)))),0),"")</f>
        <v/>
      </c>
      <c r="AU101" s="146" t="str">
        <f>IFERROR(_xlfn.IFNA(IF($BA101="No",0,IF(INDEX(Constants!F:F,MATCH(($I101/12),Constants!$A:$A,0))=0,0,INDEX(Constants!F:F,MATCH(($I101/12),Constants!$A:$A,0)))),0),"")</f>
        <v/>
      </c>
      <c r="AV101" s="146" t="str">
        <f>IFERROR(_xlfn.IFNA(IF($BA101="No",0,IF(INDEX(Constants!G:G,MATCH(($I101/12),Constants!$A:$A,0))=0,0,INDEX(Constants!G:G,MATCH(($I101/12),Constants!$A:$A,0)))),0),"")</f>
        <v/>
      </c>
      <c r="AW101" s="146" t="str">
        <f>IFERROR(_xlfn.IFNA(IF($BA101="No",0,IF(INDEX(Constants!H:H,MATCH(($I101/12),Constants!$A:$A,0))=0,0,INDEX(Constants!H:H,MATCH(($I101/12),Constants!$A:$A,0)))),0),"")</f>
        <v/>
      </c>
      <c r="AX101" s="146" t="str">
        <f>IFERROR(_xlfn.IFNA(IF($BA101="No",0,IF(INDEX(Constants!I:I,MATCH(($I101/12),Constants!$A:$A,0))=0,0,INDEX(Constants!I:I,MATCH(($I101/12),Constants!$A:$A,0)))),0),"")</f>
        <v/>
      </c>
      <c r="AY101" s="146" t="str">
        <f>IFERROR(_xlfn.IFNA(IF($BA101="No",0,IF(INDEX(Constants!J:J,MATCH(($I101/12),Constants!$A:$A,0))=0,0,INDEX(Constants!J:J,MATCH(($I101/12),Constants!$A:$A,0)))),0),"")</f>
        <v/>
      </c>
      <c r="AZ101" s="146" t="str">
        <f>IFERROR(_xlfn.IFNA(IF($BA101="No",0,IF(INDEX(Constants!K:K,MATCH(($I101/12),Constants!$A:$A,0))=0,0,INDEX(Constants!K:K,MATCH(($I101/12),Constants!$A:$A,0)))),0),"")</f>
        <v/>
      </c>
      <c r="BA101" s="147" t="str">
        <f>_xlfn.IFNA(INDEX(Producer!$L:$L,MATCH($D101,Producer!$A:$A,0)),"")</f>
        <v/>
      </c>
      <c r="BB101" s="146" t="str">
        <f>IFERROR(IF(AQ101=0,"",IF(($I101/12)=15,_xlfn.CONCAT(Constants!$N$7,TEXT(DATE(YEAR(H101)-(($I101/12)-3),MONTH(H101),DAY(H101)),"dd/mm/yyyy"),", ",Constants!$P$7,TEXT(DATE(YEAR(H101)-(($I101/12)-8),MONTH(H101),DAY(H101)),"dd/mm/yyyy"),", ",Constants!$T$7,TEXT(DATE(YEAR(H101)-(($I101/12)-11),MONTH(H101),DAY(H101)),"dd/mm/yyyy"),", ",Constants!$V$7,TEXT(DATE(YEAR(H101)-(($I101/12)-13),MONTH(H101),DAY(H101)),"dd/mm/yyyy"),", ",Constants!$W$7,TEXT($H101,"dd/mm/yyyy")),IF(($I101/12)=10,_xlfn.CONCAT(Constants!$N$6,TEXT(DATE(YEAR(H101)-(($I101/12)-2),MONTH(H101),DAY(H101)),"dd/mm/yyyy"),", ",Constants!$P$6,TEXT(DATE(YEAR(H101)-(($I101/12)-6),MONTH(H101),DAY(H101)),"dd/mm/yyyy"),", ",Constants!$T$6,TEXT(DATE(YEAR(H101)-(($I101/12)-8),MONTH(H101),DAY(H101)),"dd/mm/yyyy"),", ",Constants!$V$6,TEXT(DATE(YEAR(H101)-(($I101/12)-9),MONTH(H101),DAY(H101)),"dd/mm/yyyy"),", ",Constants!$W$6,TEXT($H101,"dd/mm/yyyy")),IF(($I101/12)=5,_xlfn.CONCAT(Constants!$N$5,TEXT(DATE(YEAR(H101)-(($I101/12)-1),MONTH(H101),DAY(H101)),"dd/mm/yyyy"),", ",Constants!$O$5,TEXT(DATE(YEAR(H101)-(($I101/12)-2),MONTH(H101),DAY(H101)),"dd/mm/yyyy"),", ",Constants!$P$5,TEXT(DATE(YEAR(H101)-(($I101/12)-3),MONTH(H101),DAY(H101)),"dd/mm/yyyy"),", ",Constants!$Q$5,TEXT(DATE(YEAR(H101)-(($I101/12)-4),MONTH(H101),DAY(H101)),"dd/mm/yyyy"),", ",Constants!$R$5,TEXT($H101,"dd/mm/yyyy")),IF(($I101/12)=3,_xlfn.CONCAT(Constants!$N$4,TEXT(DATE(YEAR(H101)-(($I101/12)-1),MONTH(H101),DAY(H101)),"dd/mm/yyyy"),", ",Constants!$O$4,TEXT(DATE(YEAR(H101)-(($I101/12)-2),MONTH(H101),DAY(H101)),"dd/mm/yyyy"),", ",Constants!$P$4,TEXT($H101,"dd/mm/yyyy")),IF(($I101/12)=2,_xlfn.CONCAT(Constants!$N$3,TEXT(DATE(YEAR(H101)-(($I101/12)-1),MONTH(H101),DAY(H101)),"dd/mm/yyyy"),", ",Constants!$O$3,TEXT($H101,"dd/mm/yyyy")),IF(($I101/12)=1,_xlfn.CONCAT(Constants!$N$2,TEXT($H101,"dd/mm/yyyy")),"Update Constants"))))))),"")</f>
        <v/>
      </c>
      <c r="BC101" s="147" t="str">
        <f>_xlfn.IFNA(VALUE(INDEX(Producer!$K:$K,MATCH($D101,Producer!$A:$A,0))),"")</f>
        <v/>
      </c>
      <c r="BD101" s="147" t="str">
        <f>_xlfn.IFNA(INDEX(Producer!$I:$I,MATCH($D101,Producer!$A:$A,0)),"")</f>
        <v/>
      </c>
      <c r="BE101" s="147" t="str">
        <f t="shared" si="36"/>
        <v/>
      </c>
      <c r="BF101" s="147"/>
      <c r="BG101" s="147"/>
      <c r="BH101" s="151" t="str">
        <f>_xlfn.IFNA(INDEX(Constants!$B:$B,MATCH(BC101,Constants!A:A,0)),"")</f>
        <v/>
      </c>
      <c r="BI101" s="147" t="str">
        <f>IF(LEFT(B101,15)="Limited Company",Constants!$D$16,IFERROR(_xlfn.IFNA(IF(C101="Residential",IF(BK101&lt;75,INDEX(Constants!$B:$B,MATCH(VALUE(60)/100,Constants!$A:$A,0)),INDEX(Constants!$B:$B,MATCH(VALUE(BK101)/100,Constants!$A:$A,0))),IF(BK101&lt;60,INDEX(Constants!$C:$C,MATCH(VALUE(60)/100,Constants!$A:$A,0)),INDEX(Constants!$C:$C,MATCH(VALUE(BK101)/100,Constants!$A:$A,0)))),""),""))</f>
        <v/>
      </c>
      <c r="BJ101" s="147" t="str">
        <f t="shared" si="37"/>
        <v/>
      </c>
      <c r="BK101" s="147" t="str">
        <f>_xlfn.IFNA(VALUE(INDEX(Producer!$E:$E,MATCH($D101,Producer!$A:$A,0)))*100,"")</f>
        <v/>
      </c>
      <c r="BL101" s="146" t="str">
        <f>_xlfn.IFNA(IF(IFERROR(FIND("Part &amp; Part",B101),-10)&gt;0,"PP",IF(OR(LEFT(B101,25)="Residential Interest Only",INDEX(Producer!$P:$P,MATCH($D101,Producer!$A:$A,0))="IO",INDEX(Producer!$P:$P,MATCH($D101,Producer!$A:$A,0))="Retirement Interest Only"),"IO",IF($C101="BuyToLet","CI, IO","CI"))),"")</f>
        <v/>
      </c>
      <c r="BM101" s="152" t="str">
        <f>_xlfn.IFNA(IF(BL101="IO",100%,IF(AND(INDEX(Producer!$P:$P,MATCH($D101,Producer!$A:$A,0))="Residential Interest Only Part &amp; Part",BK101=75),80%,IF(C101="BuyToLet",100%,IF(BL101="Interest Only",100%,IF(AND(INDEX(Producer!$P:$P,MATCH($D101,Producer!$A:$A,0))="Residential Interest Only Part &amp; Part",BK101=60),100%,""))))),"")</f>
        <v/>
      </c>
      <c r="BN101" s="218" t="str">
        <f>_xlfn.IFNA(IF(VALUE(INDEX(Producer!$H:$H,MATCH($D101,Producer!$A:$A,0)))=0,"",VALUE(INDEX(Producer!$H:$H,MATCH($D101,Producer!$A:$A,0)))),"")</f>
        <v/>
      </c>
      <c r="BO101" s="153"/>
      <c r="BP101" s="153"/>
      <c r="BQ101" s="219" t="str">
        <f t="shared" si="38"/>
        <v/>
      </c>
      <c r="BR101" s="146"/>
      <c r="BS101" s="146"/>
      <c r="BT101" s="146"/>
      <c r="BU101" s="146"/>
      <c r="BV101" s="219" t="str">
        <f t="shared" si="39"/>
        <v/>
      </c>
      <c r="BW101" s="146"/>
      <c r="BX101" s="146"/>
      <c r="BY101" s="146" t="str">
        <f t="shared" si="40"/>
        <v/>
      </c>
      <c r="BZ101" s="146" t="str">
        <f t="shared" si="41"/>
        <v/>
      </c>
      <c r="CA101" s="146" t="str">
        <f t="shared" si="42"/>
        <v/>
      </c>
      <c r="CB101" s="146" t="str">
        <f t="shared" si="43"/>
        <v/>
      </c>
      <c r="CC101" s="146" t="str">
        <f>_xlfn.IFNA(IF(INDEX(Producer!$P:$P,MATCH($D101,Producer!$A:$A,0))="Help to Buy","Only available","No"),"")</f>
        <v/>
      </c>
      <c r="CD101" s="146" t="str">
        <f>_xlfn.IFNA(IF(INDEX(Producer!$P:$P,MATCH($D101,Producer!$A:$A,0))="Shared Ownership","Only available","No"),"")</f>
        <v/>
      </c>
      <c r="CE101" s="146" t="str">
        <f>_xlfn.IFNA(IF(INDEX(Producer!$P:$P,MATCH($D101,Producer!$A:$A,0))="Right to Buy","Only available","No"),"")</f>
        <v/>
      </c>
      <c r="CF101" s="146" t="str">
        <f t="shared" si="44"/>
        <v/>
      </c>
      <c r="CG101" s="146" t="str">
        <f>_xlfn.IFNA(IF(INDEX(Producer!$P:$P,MATCH($D101,Producer!$A:$A,0))="Retirement Interest Only","Only available","No"),"")</f>
        <v/>
      </c>
      <c r="CH101" s="146" t="str">
        <f t="shared" si="45"/>
        <v/>
      </c>
      <c r="CI101" s="146" t="str">
        <f>_xlfn.IFNA(IF(INDEX(Producer!$P:$P,MATCH($D101,Producer!$A:$A,0))="Intermediary Holiday Let","Only available","No"),"")</f>
        <v/>
      </c>
      <c r="CJ101" s="146" t="str">
        <f t="shared" si="46"/>
        <v/>
      </c>
      <c r="CK101" s="146" t="str">
        <f>_xlfn.IFNA(IF(OR(INDEX(Producer!$P:$P,MATCH($D101,Producer!$A:$A,0))="Intermediary Small HMO",INDEX(Producer!$P:$P,MATCH($D101,Producer!$A:$A,0))="Intermediary Large HMO"),"Only available","No"),"")</f>
        <v/>
      </c>
      <c r="CL101" s="146" t="str">
        <f t="shared" si="47"/>
        <v/>
      </c>
      <c r="CM101" s="146" t="str">
        <f t="shared" si="48"/>
        <v/>
      </c>
      <c r="CN101" s="146" t="str">
        <f t="shared" si="49"/>
        <v/>
      </c>
      <c r="CO101" s="146" t="str">
        <f t="shared" si="50"/>
        <v/>
      </c>
      <c r="CP101" s="146" t="str">
        <f t="shared" si="51"/>
        <v/>
      </c>
      <c r="CQ101" s="146" t="str">
        <f t="shared" si="52"/>
        <v/>
      </c>
      <c r="CR101" s="146" t="str">
        <f t="shared" si="53"/>
        <v/>
      </c>
      <c r="CS101" s="146" t="str">
        <f t="shared" si="54"/>
        <v/>
      </c>
      <c r="CT101" s="146" t="str">
        <f t="shared" si="55"/>
        <v/>
      </c>
      <c r="CU101" s="146"/>
    </row>
    <row r="102" spans="1:99" ht="16.399999999999999" customHeight="1" x14ac:dyDescent="0.35">
      <c r="A102" s="145" t="str">
        <f t="shared" si="28"/>
        <v/>
      </c>
      <c r="B102" s="145" t="str">
        <f>_xlfn.IFNA(_xlfn.CONCAT(INDEX(Producer!$P:$P,MATCH($D102,Producer!$A:$A,0))," ",IF(INDEX(Producer!$N:$N,MATCH($D102,Producer!$A:$A,0))="Yes","Green ",""),IF(AND(INDEX(Producer!$L:$L,MATCH($D102,Producer!$A:$A,0))="No",INDEX(Producer!$C:$C,MATCH($D102,Producer!$A:$A,0))="Fixed"),"Flexit ",""),INDEX(Producer!$B:$B,MATCH($D102,Producer!$A:$A,0))," Year ",INDEX(Producer!$C:$C,MATCH($D102,Producer!$A:$A,0))," ",VALUE(INDEX(Producer!$E:$E,MATCH($D102,Producer!$A:$A,0)))*100,"% LTV",IF(INDEX(Producer!$N:$N,MATCH($D102,Producer!$A:$A,0))="Yes"," (EPC A-C)","")," - ",IF(INDEX(Producer!$D:$D,MATCH($D102,Producer!$A:$A,0))="DLY","Daily","Annual")),"")</f>
        <v/>
      </c>
      <c r="C102" s="146" t="str">
        <f>_xlfn.IFNA(INDEX(Producer!$Q:$Q,MATCH($D102,Producer!$A:$A,0)),"")</f>
        <v/>
      </c>
      <c r="D102" s="146" t="str">
        <f>IFERROR(VALUE(MID(Producer!$R$2,IF($D101="",1/0,FIND(_xlfn.CONCAT($D100,$D101),Producer!$R$2)+10),5)),"")</f>
        <v/>
      </c>
      <c r="E102" s="146" t="str">
        <f t="shared" si="29"/>
        <v/>
      </c>
      <c r="F102" s="146"/>
      <c r="G102" s="147" t="str">
        <f>_xlfn.IFNA(VALUE(INDEX(Producer!$F:$F,MATCH($D102,Producer!$A:$A,0)))*100,"")</f>
        <v/>
      </c>
      <c r="H102" s="216" t="str">
        <f>_xlfn.IFNA(IFERROR(DATEVALUE(INDEX(Producer!$M:$M,MATCH($D102,Producer!$A:$A,0))),(INDEX(Producer!$M:$M,MATCH($D102,Producer!$A:$A,0)))),"")</f>
        <v/>
      </c>
      <c r="I102" s="217" t="str">
        <f>_xlfn.IFNA(VALUE(INDEX(Producer!$B:$B,MATCH($D102,Producer!$A:$A,0)))*12,"")</f>
        <v/>
      </c>
      <c r="J102" s="146" t="str">
        <f>_xlfn.IFNA(IF(C102="Residential",IF(VALUE(INDEX(Producer!$B:$B,MATCH($D102,Producer!$A:$A,0)))&lt;5,Constants!$C$10,""),IF(VALUE(INDEX(Producer!$B:$B,MATCH($D102,Producer!$A:$A,0)))&lt;5,Constants!$C$11,"")),"")</f>
        <v/>
      </c>
      <c r="K102" s="216" t="str">
        <f>_xlfn.IFNA(IF(($I102)&lt;60,DATE(YEAR(H102)+(5-VALUE(INDEX(Producer!$B:$B,MATCH($D102,Producer!$A:$A,0)))),MONTH(H102),DAY(H102)),""),"")</f>
        <v/>
      </c>
      <c r="L102" s="153" t="str">
        <f t="shared" si="30"/>
        <v/>
      </c>
      <c r="M102" s="146"/>
      <c r="N102" s="148"/>
      <c r="O102" s="148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 t="str">
        <f>IF(D102="","",IF(C102="Residential",Constants!$B$10,Constants!$B$11))</f>
        <v/>
      </c>
      <c r="AL102" s="146" t="str">
        <f t="shared" si="31"/>
        <v/>
      </c>
      <c r="AM102" s="206" t="str">
        <f t="shared" si="32"/>
        <v/>
      </c>
      <c r="AN102" s="146" t="str">
        <f t="shared" si="33"/>
        <v/>
      </c>
      <c r="AO102" s="149" t="str">
        <f t="shared" si="34"/>
        <v/>
      </c>
      <c r="AP102" s="150" t="str">
        <f t="shared" si="35"/>
        <v/>
      </c>
      <c r="AQ102" s="146" t="str">
        <f>IFERROR(_xlfn.IFNA(IF($BA102="No",0,IF(INDEX(Constants!B:B,MATCH(($I102/12),Constants!$A:$A,0))=0,0,INDEX(Constants!B:B,MATCH(($I102/12),Constants!$A:$A,0)))),0),"")</f>
        <v/>
      </c>
      <c r="AR102" s="146" t="str">
        <f>IFERROR(_xlfn.IFNA(IF($BA102="No",0,IF(INDEX(Constants!C:C,MATCH(($I102/12),Constants!$A:$A,0))=0,0,INDEX(Constants!C:C,MATCH(($I102/12),Constants!$A:$A,0)))),0),"")</f>
        <v/>
      </c>
      <c r="AS102" s="146" t="str">
        <f>IFERROR(_xlfn.IFNA(IF($BA102="No",0,IF(INDEX(Constants!D:D,MATCH(($I102/12),Constants!$A:$A,0))=0,0,INDEX(Constants!D:D,MATCH(($I102/12),Constants!$A:$A,0)))),0),"")</f>
        <v/>
      </c>
      <c r="AT102" s="146" t="str">
        <f>IFERROR(_xlfn.IFNA(IF($BA102="No",0,IF(INDEX(Constants!E:E,MATCH(($I102/12),Constants!$A:$A,0))=0,0,INDEX(Constants!E:E,MATCH(($I102/12),Constants!$A:$A,0)))),0),"")</f>
        <v/>
      </c>
      <c r="AU102" s="146" t="str">
        <f>IFERROR(_xlfn.IFNA(IF($BA102="No",0,IF(INDEX(Constants!F:F,MATCH(($I102/12),Constants!$A:$A,0))=0,0,INDEX(Constants!F:F,MATCH(($I102/12),Constants!$A:$A,0)))),0),"")</f>
        <v/>
      </c>
      <c r="AV102" s="146" t="str">
        <f>IFERROR(_xlfn.IFNA(IF($BA102="No",0,IF(INDEX(Constants!G:G,MATCH(($I102/12),Constants!$A:$A,0))=0,0,INDEX(Constants!G:G,MATCH(($I102/12),Constants!$A:$A,0)))),0),"")</f>
        <v/>
      </c>
      <c r="AW102" s="146" t="str">
        <f>IFERROR(_xlfn.IFNA(IF($BA102="No",0,IF(INDEX(Constants!H:H,MATCH(($I102/12),Constants!$A:$A,0))=0,0,INDEX(Constants!H:H,MATCH(($I102/12),Constants!$A:$A,0)))),0),"")</f>
        <v/>
      </c>
      <c r="AX102" s="146" t="str">
        <f>IFERROR(_xlfn.IFNA(IF($BA102="No",0,IF(INDEX(Constants!I:I,MATCH(($I102/12),Constants!$A:$A,0))=0,0,INDEX(Constants!I:I,MATCH(($I102/12),Constants!$A:$A,0)))),0),"")</f>
        <v/>
      </c>
      <c r="AY102" s="146" t="str">
        <f>IFERROR(_xlfn.IFNA(IF($BA102="No",0,IF(INDEX(Constants!J:J,MATCH(($I102/12),Constants!$A:$A,0))=0,0,INDEX(Constants!J:J,MATCH(($I102/12),Constants!$A:$A,0)))),0),"")</f>
        <v/>
      </c>
      <c r="AZ102" s="146" t="str">
        <f>IFERROR(_xlfn.IFNA(IF($BA102="No",0,IF(INDEX(Constants!K:K,MATCH(($I102/12),Constants!$A:$A,0))=0,0,INDEX(Constants!K:K,MATCH(($I102/12),Constants!$A:$A,0)))),0),"")</f>
        <v/>
      </c>
      <c r="BA102" s="147" t="str">
        <f>_xlfn.IFNA(INDEX(Producer!$L:$L,MATCH($D102,Producer!$A:$A,0)),"")</f>
        <v/>
      </c>
      <c r="BB102" s="146" t="str">
        <f>IFERROR(IF(AQ102=0,"",IF(($I102/12)=15,_xlfn.CONCAT(Constants!$N$7,TEXT(DATE(YEAR(H102)-(($I102/12)-3),MONTH(H102),DAY(H102)),"dd/mm/yyyy"),", ",Constants!$P$7,TEXT(DATE(YEAR(H102)-(($I102/12)-8),MONTH(H102),DAY(H102)),"dd/mm/yyyy"),", ",Constants!$T$7,TEXT(DATE(YEAR(H102)-(($I102/12)-11),MONTH(H102),DAY(H102)),"dd/mm/yyyy"),", ",Constants!$V$7,TEXT(DATE(YEAR(H102)-(($I102/12)-13),MONTH(H102),DAY(H102)),"dd/mm/yyyy"),", ",Constants!$W$7,TEXT($H102,"dd/mm/yyyy")),IF(($I102/12)=10,_xlfn.CONCAT(Constants!$N$6,TEXT(DATE(YEAR(H102)-(($I102/12)-2),MONTH(H102),DAY(H102)),"dd/mm/yyyy"),", ",Constants!$P$6,TEXT(DATE(YEAR(H102)-(($I102/12)-6),MONTH(H102),DAY(H102)),"dd/mm/yyyy"),", ",Constants!$T$6,TEXT(DATE(YEAR(H102)-(($I102/12)-8),MONTH(H102),DAY(H102)),"dd/mm/yyyy"),", ",Constants!$V$6,TEXT(DATE(YEAR(H102)-(($I102/12)-9),MONTH(H102),DAY(H102)),"dd/mm/yyyy"),", ",Constants!$W$6,TEXT($H102,"dd/mm/yyyy")),IF(($I102/12)=5,_xlfn.CONCAT(Constants!$N$5,TEXT(DATE(YEAR(H102)-(($I102/12)-1),MONTH(H102),DAY(H102)),"dd/mm/yyyy"),", ",Constants!$O$5,TEXT(DATE(YEAR(H102)-(($I102/12)-2),MONTH(H102),DAY(H102)),"dd/mm/yyyy"),", ",Constants!$P$5,TEXT(DATE(YEAR(H102)-(($I102/12)-3),MONTH(H102),DAY(H102)),"dd/mm/yyyy"),", ",Constants!$Q$5,TEXT(DATE(YEAR(H102)-(($I102/12)-4),MONTH(H102),DAY(H102)),"dd/mm/yyyy"),", ",Constants!$R$5,TEXT($H102,"dd/mm/yyyy")),IF(($I102/12)=3,_xlfn.CONCAT(Constants!$N$4,TEXT(DATE(YEAR(H102)-(($I102/12)-1),MONTH(H102),DAY(H102)),"dd/mm/yyyy"),", ",Constants!$O$4,TEXT(DATE(YEAR(H102)-(($I102/12)-2),MONTH(H102),DAY(H102)),"dd/mm/yyyy"),", ",Constants!$P$4,TEXT($H102,"dd/mm/yyyy")),IF(($I102/12)=2,_xlfn.CONCAT(Constants!$N$3,TEXT(DATE(YEAR(H102)-(($I102/12)-1),MONTH(H102),DAY(H102)),"dd/mm/yyyy"),", ",Constants!$O$3,TEXT($H102,"dd/mm/yyyy")),IF(($I102/12)=1,_xlfn.CONCAT(Constants!$N$2,TEXT($H102,"dd/mm/yyyy")),"Update Constants"))))))),"")</f>
        <v/>
      </c>
      <c r="BC102" s="147" t="str">
        <f>_xlfn.IFNA(VALUE(INDEX(Producer!$K:$K,MATCH($D102,Producer!$A:$A,0))),"")</f>
        <v/>
      </c>
      <c r="BD102" s="147" t="str">
        <f>_xlfn.IFNA(INDEX(Producer!$I:$I,MATCH($D102,Producer!$A:$A,0)),"")</f>
        <v/>
      </c>
      <c r="BE102" s="147" t="str">
        <f t="shared" si="36"/>
        <v/>
      </c>
      <c r="BF102" s="147"/>
      <c r="BG102" s="147"/>
      <c r="BH102" s="151" t="str">
        <f>_xlfn.IFNA(INDEX(Constants!$B:$B,MATCH(BC102,Constants!A:A,0)),"")</f>
        <v/>
      </c>
      <c r="BI102" s="147" t="str">
        <f>IF(LEFT(B102,15)="Limited Company",Constants!$D$16,IFERROR(_xlfn.IFNA(IF(C102="Residential",IF(BK102&lt;75,INDEX(Constants!$B:$B,MATCH(VALUE(60)/100,Constants!$A:$A,0)),INDEX(Constants!$B:$B,MATCH(VALUE(BK102)/100,Constants!$A:$A,0))),IF(BK102&lt;60,INDEX(Constants!$C:$C,MATCH(VALUE(60)/100,Constants!$A:$A,0)),INDEX(Constants!$C:$C,MATCH(VALUE(BK102)/100,Constants!$A:$A,0)))),""),""))</f>
        <v/>
      </c>
      <c r="BJ102" s="147" t="str">
        <f t="shared" si="37"/>
        <v/>
      </c>
      <c r="BK102" s="147" t="str">
        <f>_xlfn.IFNA(VALUE(INDEX(Producer!$E:$E,MATCH($D102,Producer!$A:$A,0)))*100,"")</f>
        <v/>
      </c>
      <c r="BL102" s="146" t="str">
        <f>_xlfn.IFNA(IF(IFERROR(FIND("Part &amp; Part",B102),-10)&gt;0,"PP",IF(OR(LEFT(B102,25)="Residential Interest Only",INDEX(Producer!$P:$P,MATCH($D102,Producer!$A:$A,0))="IO",INDEX(Producer!$P:$P,MATCH($D102,Producer!$A:$A,0))="Retirement Interest Only"),"IO",IF($C102="BuyToLet","CI, IO","CI"))),"")</f>
        <v/>
      </c>
      <c r="BM102" s="152" t="str">
        <f>_xlfn.IFNA(IF(BL102="IO",100%,IF(AND(INDEX(Producer!$P:$P,MATCH($D102,Producer!$A:$A,0))="Residential Interest Only Part &amp; Part",BK102=75),80%,IF(C102="BuyToLet",100%,IF(BL102="Interest Only",100%,IF(AND(INDEX(Producer!$P:$P,MATCH($D102,Producer!$A:$A,0))="Residential Interest Only Part &amp; Part",BK102=60),100%,""))))),"")</f>
        <v/>
      </c>
      <c r="BN102" s="218" t="str">
        <f>_xlfn.IFNA(IF(VALUE(INDEX(Producer!$H:$H,MATCH($D102,Producer!$A:$A,0)))=0,"",VALUE(INDEX(Producer!$H:$H,MATCH($D102,Producer!$A:$A,0)))),"")</f>
        <v/>
      </c>
      <c r="BO102" s="153"/>
      <c r="BP102" s="153"/>
      <c r="BQ102" s="219" t="str">
        <f t="shared" si="38"/>
        <v/>
      </c>
      <c r="BR102" s="146"/>
      <c r="BS102" s="146"/>
      <c r="BT102" s="146"/>
      <c r="BU102" s="146"/>
      <c r="BV102" s="219" t="str">
        <f t="shared" si="39"/>
        <v/>
      </c>
      <c r="BW102" s="146"/>
      <c r="BX102" s="146"/>
      <c r="BY102" s="146" t="str">
        <f t="shared" si="40"/>
        <v/>
      </c>
      <c r="BZ102" s="146" t="str">
        <f t="shared" si="41"/>
        <v/>
      </c>
      <c r="CA102" s="146" t="str">
        <f t="shared" si="42"/>
        <v/>
      </c>
      <c r="CB102" s="146" t="str">
        <f t="shared" si="43"/>
        <v/>
      </c>
      <c r="CC102" s="146" t="str">
        <f>_xlfn.IFNA(IF(INDEX(Producer!$P:$P,MATCH($D102,Producer!$A:$A,0))="Help to Buy","Only available","No"),"")</f>
        <v/>
      </c>
      <c r="CD102" s="146" t="str">
        <f>_xlfn.IFNA(IF(INDEX(Producer!$P:$P,MATCH($D102,Producer!$A:$A,0))="Shared Ownership","Only available","No"),"")</f>
        <v/>
      </c>
      <c r="CE102" s="146" t="str">
        <f>_xlfn.IFNA(IF(INDEX(Producer!$P:$P,MATCH($D102,Producer!$A:$A,0))="Right to Buy","Only available","No"),"")</f>
        <v/>
      </c>
      <c r="CF102" s="146" t="str">
        <f t="shared" si="44"/>
        <v/>
      </c>
      <c r="CG102" s="146" t="str">
        <f>_xlfn.IFNA(IF(INDEX(Producer!$P:$P,MATCH($D102,Producer!$A:$A,0))="Retirement Interest Only","Only available","No"),"")</f>
        <v/>
      </c>
      <c r="CH102" s="146" t="str">
        <f t="shared" si="45"/>
        <v/>
      </c>
      <c r="CI102" s="146" t="str">
        <f>_xlfn.IFNA(IF(INDEX(Producer!$P:$P,MATCH($D102,Producer!$A:$A,0))="Intermediary Holiday Let","Only available","No"),"")</f>
        <v/>
      </c>
      <c r="CJ102" s="146" t="str">
        <f t="shared" si="46"/>
        <v/>
      </c>
      <c r="CK102" s="146" t="str">
        <f>_xlfn.IFNA(IF(OR(INDEX(Producer!$P:$P,MATCH($D102,Producer!$A:$A,0))="Intermediary Small HMO",INDEX(Producer!$P:$P,MATCH($D102,Producer!$A:$A,0))="Intermediary Large HMO"),"Only available","No"),"")</f>
        <v/>
      </c>
      <c r="CL102" s="146" t="str">
        <f t="shared" si="47"/>
        <v/>
      </c>
      <c r="CM102" s="146" t="str">
        <f t="shared" si="48"/>
        <v/>
      </c>
      <c r="CN102" s="146" t="str">
        <f t="shared" si="49"/>
        <v/>
      </c>
      <c r="CO102" s="146" t="str">
        <f t="shared" si="50"/>
        <v/>
      </c>
      <c r="CP102" s="146" t="str">
        <f t="shared" si="51"/>
        <v/>
      </c>
      <c r="CQ102" s="146" t="str">
        <f t="shared" si="52"/>
        <v/>
      </c>
      <c r="CR102" s="146" t="str">
        <f t="shared" si="53"/>
        <v/>
      </c>
      <c r="CS102" s="146" t="str">
        <f t="shared" si="54"/>
        <v/>
      </c>
      <c r="CT102" s="146" t="str">
        <f t="shared" si="55"/>
        <v/>
      </c>
      <c r="CU102" s="146"/>
    </row>
    <row r="103" spans="1:99" ht="16.399999999999999" customHeight="1" x14ac:dyDescent="0.35">
      <c r="A103" s="145" t="str">
        <f t="shared" si="28"/>
        <v/>
      </c>
      <c r="B103" s="145" t="str">
        <f>_xlfn.IFNA(_xlfn.CONCAT(INDEX(Producer!$P:$P,MATCH($D103,Producer!$A:$A,0))," ",IF(INDEX(Producer!$N:$N,MATCH($D103,Producer!$A:$A,0))="Yes","Green ",""),IF(AND(INDEX(Producer!$L:$L,MATCH($D103,Producer!$A:$A,0))="No",INDEX(Producer!$C:$C,MATCH($D103,Producer!$A:$A,0))="Fixed"),"Flexit ",""),INDEX(Producer!$B:$B,MATCH($D103,Producer!$A:$A,0))," Year ",INDEX(Producer!$C:$C,MATCH($D103,Producer!$A:$A,0))," ",VALUE(INDEX(Producer!$E:$E,MATCH($D103,Producer!$A:$A,0)))*100,"% LTV",IF(INDEX(Producer!$N:$N,MATCH($D103,Producer!$A:$A,0))="Yes"," (EPC A-C)","")," - ",IF(INDEX(Producer!$D:$D,MATCH($D103,Producer!$A:$A,0))="DLY","Daily","Annual")),"")</f>
        <v/>
      </c>
      <c r="C103" s="146" t="str">
        <f>_xlfn.IFNA(INDEX(Producer!$Q:$Q,MATCH($D103,Producer!$A:$A,0)),"")</f>
        <v/>
      </c>
      <c r="D103" s="146" t="str">
        <f>IFERROR(VALUE(MID(Producer!$R$2,IF($D102="",1/0,FIND(_xlfn.CONCAT($D101,$D102),Producer!$R$2)+10),5)),"")</f>
        <v/>
      </c>
      <c r="E103" s="146" t="str">
        <f t="shared" si="29"/>
        <v/>
      </c>
      <c r="F103" s="146"/>
      <c r="G103" s="147" t="str">
        <f>_xlfn.IFNA(VALUE(INDEX(Producer!$F:$F,MATCH($D103,Producer!$A:$A,0)))*100,"")</f>
        <v/>
      </c>
      <c r="H103" s="216" t="str">
        <f>_xlfn.IFNA(IFERROR(DATEVALUE(INDEX(Producer!$M:$M,MATCH($D103,Producer!$A:$A,0))),(INDEX(Producer!$M:$M,MATCH($D103,Producer!$A:$A,0)))),"")</f>
        <v/>
      </c>
      <c r="I103" s="217" t="str">
        <f>_xlfn.IFNA(VALUE(INDEX(Producer!$B:$B,MATCH($D103,Producer!$A:$A,0)))*12,"")</f>
        <v/>
      </c>
      <c r="J103" s="146" t="str">
        <f>_xlfn.IFNA(IF(C103="Residential",IF(VALUE(INDEX(Producer!$B:$B,MATCH($D103,Producer!$A:$A,0)))&lt;5,Constants!$C$10,""),IF(VALUE(INDEX(Producer!$B:$B,MATCH($D103,Producer!$A:$A,0)))&lt;5,Constants!$C$11,"")),"")</f>
        <v/>
      </c>
      <c r="K103" s="216" t="str">
        <f>_xlfn.IFNA(IF(($I103)&lt;60,DATE(YEAR(H103)+(5-VALUE(INDEX(Producer!$B:$B,MATCH($D103,Producer!$A:$A,0)))),MONTH(H103),DAY(H103)),""),"")</f>
        <v/>
      </c>
      <c r="L103" s="153" t="str">
        <f t="shared" si="30"/>
        <v/>
      </c>
      <c r="M103" s="146"/>
      <c r="N103" s="148"/>
      <c r="O103" s="148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 t="str">
        <f>IF(D103="","",IF(C103="Residential",Constants!$B$10,Constants!$B$11))</f>
        <v/>
      </c>
      <c r="AL103" s="146" t="str">
        <f t="shared" si="31"/>
        <v/>
      </c>
      <c r="AM103" s="206" t="str">
        <f t="shared" si="32"/>
        <v/>
      </c>
      <c r="AN103" s="146" t="str">
        <f t="shared" si="33"/>
        <v/>
      </c>
      <c r="AO103" s="149" t="str">
        <f t="shared" si="34"/>
        <v/>
      </c>
      <c r="AP103" s="150" t="str">
        <f t="shared" si="35"/>
        <v/>
      </c>
      <c r="AQ103" s="146" t="str">
        <f>IFERROR(_xlfn.IFNA(IF($BA103="No",0,IF(INDEX(Constants!B:B,MATCH(($I103/12),Constants!$A:$A,0))=0,0,INDEX(Constants!B:B,MATCH(($I103/12),Constants!$A:$A,0)))),0),"")</f>
        <v/>
      </c>
      <c r="AR103" s="146" t="str">
        <f>IFERROR(_xlfn.IFNA(IF($BA103="No",0,IF(INDEX(Constants!C:C,MATCH(($I103/12),Constants!$A:$A,0))=0,0,INDEX(Constants!C:C,MATCH(($I103/12),Constants!$A:$A,0)))),0),"")</f>
        <v/>
      </c>
      <c r="AS103" s="146" t="str">
        <f>IFERROR(_xlfn.IFNA(IF($BA103="No",0,IF(INDEX(Constants!D:D,MATCH(($I103/12),Constants!$A:$A,0))=0,0,INDEX(Constants!D:D,MATCH(($I103/12),Constants!$A:$A,0)))),0),"")</f>
        <v/>
      </c>
      <c r="AT103" s="146" t="str">
        <f>IFERROR(_xlfn.IFNA(IF($BA103="No",0,IF(INDEX(Constants!E:E,MATCH(($I103/12),Constants!$A:$A,0))=0,0,INDEX(Constants!E:E,MATCH(($I103/12),Constants!$A:$A,0)))),0),"")</f>
        <v/>
      </c>
      <c r="AU103" s="146" t="str">
        <f>IFERROR(_xlfn.IFNA(IF($BA103="No",0,IF(INDEX(Constants!F:F,MATCH(($I103/12),Constants!$A:$A,0))=0,0,INDEX(Constants!F:F,MATCH(($I103/12),Constants!$A:$A,0)))),0),"")</f>
        <v/>
      </c>
      <c r="AV103" s="146" t="str">
        <f>IFERROR(_xlfn.IFNA(IF($BA103="No",0,IF(INDEX(Constants!G:G,MATCH(($I103/12),Constants!$A:$A,0))=0,0,INDEX(Constants!G:G,MATCH(($I103/12),Constants!$A:$A,0)))),0),"")</f>
        <v/>
      </c>
      <c r="AW103" s="146" t="str">
        <f>IFERROR(_xlfn.IFNA(IF($BA103="No",0,IF(INDEX(Constants!H:H,MATCH(($I103/12),Constants!$A:$A,0))=0,0,INDEX(Constants!H:H,MATCH(($I103/12),Constants!$A:$A,0)))),0),"")</f>
        <v/>
      </c>
      <c r="AX103" s="146" t="str">
        <f>IFERROR(_xlfn.IFNA(IF($BA103="No",0,IF(INDEX(Constants!I:I,MATCH(($I103/12),Constants!$A:$A,0))=0,0,INDEX(Constants!I:I,MATCH(($I103/12),Constants!$A:$A,0)))),0),"")</f>
        <v/>
      </c>
      <c r="AY103" s="146" t="str">
        <f>IFERROR(_xlfn.IFNA(IF($BA103="No",0,IF(INDEX(Constants!J:J,MATCH(($I103/12),Constants!$A:$A,0))=0,0,INDEX(Constants!J:J,MATCH(($I103/12),Constants!$A:$A,0)))),0),"")</f>
        <v/>
      </c>
      <c r="AZ103" s="146" t="str">
        <f>IFERROR(_xlfn.IFNA(IF($BA103="No",0,IF(INDEX(Constants!K:K,MATCH(($I103/12),Constants!$A:$A,0))=0,0,INDEX(Constants!K:K,MATCH(($I103/12),Constants!$A:$A,0)))),0),"")</f>
        <v/>
      </c>
      <c r="BA103" s="147" t="str">
        <f>_xlfn.IFNA(INDEX(Producer!$L:$L,MATCH($D103,Producer!$A:$A,0)),"")</f>
        <v/>
      </c>
      <c r="BB103" s="146" t="str">
        <f>IFERROR(IF(AQ103=0,"",IF(($I103/12)=15,_xlfn.CONCAT(Constants!$N$7,TEXT(DATE(YEAR(H103)-(($I103/12)-3),MONTH(H103),DAY(H103)),"dd/mm/yyyy"),", ",Constants!$P$7,TEXT(DATE(YEAR(H103)-(($I103/12)-8),MONTH(H103),DAY(H103)),"dd/mm/yyyy"),", ",Constants!$T$7,TEXT(DATE(YEAR(H103)-(($I103/12)-11),MONTH(H103),DAY(H103)),"dd/mm/yyyy"),", ",Constants!$V$7,TEXT(DATE(YEAR(H103)-(($I103/12)-13),MONTH(H103),DAY(H103)),"dd/mm/yyyy"),", ",Constants!$W$7,TEXT($H103,"dd/mm/yyyy")),IF(($I103/12)=10,_xlfn.CONCAT(Constants!$N$6,TEXT(DATE(YEAR(H103)-(($I103/12)-2),MONTH(H103),DAY(H103)),"dd/mm/yyyy"),", ",Constants!$P$6,TEXT(DATE(YEAR(H103)-(($I103/12)-6),MONTH(H103),DAY(H103)),"dd/mm/yyyy"),", ",Constants!$T$6,TEXT(DATE(YEAR(H103)-(($I103/12)-8),MONTH(H103),DAY(H103)),"dd/mm/yyyy"),", ",Constants!$V$6,TEXT(DATE(YEAR(H103)-(($I103/12)-9),MONTH(H103),DAY(H103)),"dd/mm/yyyy"),", ",Constants!$W$6,TEXT($H103,"dd/mm/yyyy")),IF(($I103/12)=5,_xlfn.CONCAT(Constants!$N$5,TEXT(DATE(YEAR(H103)-(($I103/12)-1),MONTH(H103),DAY(H103)),"dd/mm/yyyy"),", ",Constants!$O$5,TEXT(DATE(YEAR(H103)-(($I103/12)-2),MONTH(H103),DAY(H103)),"dd/mm/yyyy"),", ",Constants!$P$5,TEXT(DATE(YEAR(H103)-(($I103/12)-3),MONTH(H103),DAY(H103)),"dd/mm/yyyy"),", ",Constants!$Q$5,TEXT(DATE(YEAR(H103)-(($I103/12)-4),MONTH(H103),DAY(H103)),"dd/mm/yyyy"),", ",Constants!$R$5,TEXT($H103,"dd/mm/yyyy")),IF(($I103/12)=3,_xlfn.CONCAT(Constants!$N$4,TEXT(DATE(YEAR(H103)-(($I103/12)-1),MONTH(H103),DAY(H103)),"dd/mm/yyyy"),", ",Constants!$O$4,TEXT(DATE(YEAR(H103)-(($I103/12)-2),MONTH(H103),DAY(H103)),"dd/mm/yyyy"),", ",Constants!$P$4,TEXT($H103,"dd/mm/yyyy")),IF(($I103/12)=2,_xlfn.CONCAT(Constants!$N$3,TEXT(DATE(YEAR(H103)-(($I103/12)-1),MONTH(H103),DAY(H103)),"dd/mm/yyyy"),", ",Constants!$O$3,TEXT($H103,"dd/mm/yyyy")),IF(($I103/12)=1,_xlfn.CONCAT(Constants!$N$2,TEXT($H103,"dd/mm/yyyy")),"Update Constants"))))))),"")</f>
        <v/>
      </c>
      <c r="BC103" s="147" t="str">
        <f>_xlfn.IFNA(VALUE(INDEX(Producer!$K:$K,MATCH($D103,Producer!$A:$A,0))),"")</f>
        <v/>
      </c>
      <c r="BD103" s="147" t="str">
        <f>_xlfn.IFNA(INDEX(Producer!$I:$I,MATCH($D103,Producer!$A:$A,0)),"")</f>
        <v/>
      </c>
      <c r="BE103" s="147" t="str">
        <f t="shared" si="36"/>
        <v/>
      </c>
      <c r="BF103" s="147"/>
      <c r="BG103" s="147"/>
      <c r="BH103" s="151" t="str">
        <f>_xlfn.IFNA(INDEX(Constants!$B:$B,MATCH(BC103,Constants!A:A,0)),"")</f>
        <v/>
      </c>
      <c r="BI103" s="147" t="str">
        <f>IF(LEFT(B103,15)="Limited Company",Constants!$D$16,IFERROR(_xlfn.IFNA(IF(C103="Residential",IF(BK103&lt;75,INDEX(Constants!$B:$B,MATCH(VALUE(60)/100,Constants!$A:$A,0)),INDEX(Constants!$B:$B,MATCH(VALUE(BK103)/100,Constants!$A:$A,0))),IF(BK103&lt;60,INDEX(Constants!$C:$C,MATCH(VALUE(60)/100,Constants!$A:$A,0)),INDEX(Constants!$C:$C,MATCH(VALUE(BK103)/100,Constants!$A:$A,0)))),""),""))</f>
        <v/>
      </c>
      <c r="BJ103" s="147" t="str">
        <f t="shared" si="37"/>
        <v/>
      </c>
      <c r="BK103" s="147" t="str">
        <f>_xlfn.IFNA(VALUE(INDEX(Producer!$E:$E,MATCH($D103,Producer!$A:$A,0)))*100,"")</f>
        <v/>
      </c>
      <c r="BL103" s="146" t="str">
        <f>_xlfn.IFNA(IF(IFERROR(FIND("Part &amp; Part",B103),-10)&gt;0,"PP",IF(OR(LEFT(B103,25)="Residential Interest Only",INDEX(Producer!$P:$P,MATCH($D103,Producer!$A:$A,0))="IO",INDEX(Producer!$P:$P,MATCH($D103,Producer!$A:$A,0))="Retirement Interest Only"),"IO",IF($C103="BuyToLet","CI, IO","CI"))),"")</f>
        <v/>
      </c>
      <c r="BM103" s="152" t="str">
        <f>_xlfn.IFNA(IF(BL103="IO",100%,IF(AND(INDEX(Producer!$P:$P,MATCH($D103,Producer!$A:$A,0))="Residential Interest Only Part &amp; Part",BK103=75),80%,IF(C103="BuyToLet",100%,IF(BL103="Interest Only",100%,IF(AND(INDEX(Producer!$P:$P,MATCH($D103,Producer!$A:$A,0))="Residential Interest Only Part &amp; Part",BK103=60),100%,""))))),"")</f>
        <v/>
      </c>
      <c r="BN103" s="218" t="str">
        <f>_xlfn.IFNA(IF(VALUE(INDEX(Producer!$H:$H,MATCH($D103,Producer!$A:$A,0)))=0,"",VALUE(INDEX(Producer!$H:$H,MATCH($D103,Producer!$A:$A,0)))),"")</f>
        <v/>
      </c>
      <c r="BO103" s="153"/>
      <c r="BP103" s="153"/>
      <c r="BQ103" s="219" t="str">
        <f t="shared" si="38"/>
        <v/>
      </c>
      <c r="BR103" s="146"/>
      <c r="BS103" s="146"/>
      <c r="BT103" s="146"/>
      <c r="BU103" s="146"/>
      <c r="BV103" s="219" t="str">
        <f t="shared" si="39"/>
        <v/>
      </c>
      <c r="BW103" s="146"/>
      <c r="BX103" s="146"/>
      <c r="BY103" s="146" t="str">
        <f t="shared" si="40"/>
        <v/>
      </c>
      <c r="BZ103" s="146" t="str">
        <f t="shared" si="41"/>
        <v/>
      </c>
      <c r="CA103" s="146" t="str">
        <f t="shared" si="42"/>
        <v/>
      </c>
      <c r="CB103" s="146" t="str">
        <f t="shared" si="43"/>
        <v/>
      </c>
      <c r="CC103" s="146" t="str">
        <f>_xlfn.IFNA(IF(INDEX(Producer!$P:$P,MATCH($D103,Producer!$A:$A,0))="Help to Buy","Only available","No"),"")</f>
        <v/>
      </c>
      <c r="CD103" s="146" t="str">
        <f>_xlfn.IFNA(IF(INDEX(Producer!$P:$P,MATCH($D103,Producer!$A:$A,0))="Shared Ownership","Only available","No"),"")</f>
        <v/>
      </c>
      <c r="CE103" s="146" t="str">
        <f>_xlfn.IFNA(IF(INDEX(Producer!$P:$P,MATCH($D103,Producer!$A:$A,0))="Right to Buy","Only available","No"),"")</f>
        <v/>
      </c>
      <c r="CF103" s="146" t="str">
        <f t="shared" si="44"/>
        <v/>
      </c>
      <c r="CG103" s="146" t="str">
        <f>_xlfn.IFNA(IF(INDEX(Producer!$P:$P,MATCH($D103,Producer!$A:$A,0))="Retirement Interest Only","Only available","No"),"")</f>
        <v/>
      </c>
      <c r="CH103" s="146" t="str">
        <f t="shared" si="45"/>
        <v/>
      </c>
      <c r="CI103" s="146" t="str">
        <f>_xlfn.IFNA(IF(INDEX(Producer!$P:$P,MATCH($D103,Producer!$A:$A,0))="Intermediary Holiday Let","Only available","No"),"")</f>
        <v/>
      </c>
      <c r="CJ103" s="146" t="str">
        <f t="shared" si="46"/>
        <v/>
      </c>
      <c r="CK103" s="146" t="str">
        <f>_xlfn.IFNA(IF(OR(INDEX(Producer!$P:$P,MATCH($D103,Producer!$A:$A,0))="Intermediary Small HMO",INDEX(Producer!$P:$P,MATCH($D103,Producer!$A:$A,0))="Intermediary Large HMO"),"Only available","No"),"")</f>
        <v/>
      </c>
      <c r="CL103" s="146" t="str">
        <f t="shared" si="47"/>
        <v/>
      </c>
      <c r="CM103" s="146" t="str">
        <f t="shared" si="48"/>
        <v/>
      </c>
      <c r="CN103" s="146" t="str">
        <f t="shared" si="49"/>
        <v/>
      </c>
      <c r="CO103" s="146" t="str">
        <f t="shared" si="50"/>
        <v/>
      </c>
      <c r="CP103" s="146" t="str">
        <f t="shared" si="51"/>
        <v/>
      </c>
      <c r="CQ103" s="146" t="str">
        <f t="shared" si="52"/>
        <v/>
      </c>
      <c r="CR103" s="146" t="str">
        <f t="shared" si="53"/>
        <v/>
      </c>
      <c r="CS103" s="146" t="str">
        <f t="shared" si="54"/>
        <v/>
      </c>
      <c r="CT103" s="146" t="str">
        <f t="shared" si="55"/>
        <v/>
      </c>
      <c r="CU103" s="146"/>
    </row>
    <row r="104" spans="1:99" ht="16.399999999999999" customHeight="1" x14ac:dyDescent="0.35">
      <c r="A104" s="145" t="str">
        <f t="shared" si="28"/>
        <v/>
      </c>
      <c r="B104" s="145" t="str">
        <f>_xlfn.IFNA(_xlfn.CONCAT(INDEX(Producer!$P:$P,MATCH($D104,Producer!$A:$A,0))," ",IF(INDEX(Producer!$N:$N,MATCH($D104,Producer!$A:$A,0))="Yes","Green ",""),IF(AND(INDEX(Producer!$L:$L,MATCH($D104,Producer!$A:$A,0))="No",INDEX(Producer!$C:$C,MATCH($D104,Producer!$A:$A,0))="Fixed"),"Flexit ",""),INDEX(Producer!$B:$B,MATCH($D104,Producer!$A:$A,0))," Year ",INDEX(Producer!$C:$C,MATCH($D104,Producer!$A:$A,0))," ",VALUE(INDEX(Producer!$E:$E,MATCH($D104,Producer!$A:$A,0)))*100,"% LTV",IF(INDEX(Producer!$N:$N,MATCH($D104,Producer!$A:$A,0))="Yes"," (EPC A-C)","")," - ",IF(INDEX(Producer!$D:$D,MATCH($D104,Producer!$A:$A,0))="DLY","Daily","Annual")),"")</f>
        <v/>
      </c>
      <c r="C104" s="146" t="str">
        <f>_xlfn.IFNA(INDEX(Producer!$Q:$Q,MATCH($D104,Producer!$A:$A,0)),"")</f>
        <v/>
      </c>
      <c r="D104" s="146" t="str">
        <f>IFERROR(VALUE(MID(Producer!$R$2,IF($D103="",1/0,FIND(_xlfn.CONCAT($D102,$D103),Producer!$R$2)+10),5)),"")</f>
        <v/>
      </c>
      <c r="E104" s="146" t="str">
        <f t="shared" si="29"/>
        <v/>
      </c>
      <c r="F104" s="146"/>
      <c r="G104" s="147" t="str">
        <f>_xlfn.IFNA(VALUE(INDEX(Producer!$F:$F,MATCH($D104,Producer!$A:$A,0)))*100,"")</f>
        <v/>
      </c>
      <c r="H104" s="216" t="str">
        <f>_xlfn.IFNA(IFERROR(DATEVALUE(INDEX(Producer!$M:$M,MATCH($D104,Producer!$A:$A,0))),(INDEX(Producer!$M:$M,MATCH($D104,Producer!$A:$A,0)))),"")</f>
        <v/>
      </c>
      <c r="I104" s="217" t="str">
        <f>_xlfn.IFNA(VALUE(INDEX(Producer!$B:$B,MATCH($D104,Producer!$A:$A,0)))*12,"")</f>
        <v/>
      </c>
      <c r="J104" s="146" t="str">
        <f>_xlfn.IFNA(IF(C104="Residential",IF(VALUE(INDEX(Producer!$B:$B,MATCH($D104,Producer!$A:$A,0)))&lt;5,Constants!$C$10,""),IF(VALUE(INDEX(Producer!$B:$B,MATCH($D104,Producer!$A:$A,0)))&lt;5,Constants!$C$11,"")),"")</f>
        <v/>
      </c>
      <c r="K104" s="216" t="str">
        <f>_xlfn.IFNA(IF(($I104)&lt;60,DATE(YEAR(H104)+(5-VALUE(INDEX(Producer!$B:$B,MATCH($D104,Producer!$A:$A,0)))),MONTH(H104),DAY(H104)),""),"")</f>
        <v/>
      </c>
      <c r="L104" s="153" t="str">
        <f t="shared" si="30"/>
        <v/>
      </c>
      <c r="M104" s="146"/>
      <c r="N104" s="148"/>
      <c r="O104" s="148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 t="str">
        <f>IF(D104="","",IF(C104="Residential",Constants!$B$10,Constants!$B$11))</f>
        <v/>
      </c>
      <c r="AL104" s="146" t="str">
        <f t="shared" si="31"/>
        <v/>
      </c>
      <c r="AM104" s="206" t="str">
        <f t="shared" si="32"/>
        <v/>
      </c>
      <c r="AN104" s="146" t="str">
        <f t="shared" si="33"/>
        <v/>
      </c>
      <c r="AO104" s="149" t="str">
        <f t="shared" si="34"/>
        <v/>
      </c>
      <c r="AP104" s="150" t="str">
        <f t="shared" si="35"/>
        <v/>
      </c>
      <c r="AQ104" s="146" t="str">
        <f>IFERROR(_xlfn.IFNA(IF($BA104="No",0,IF(INDEX(Constants!B:B,MATCH(($I104/12),Constants!$A:$A,0))=0,0,INDEX(Constants!B:B,MATCH(($I104/12),Constants!$A:$A,0)))),0),"")</f>
        <v/>
      </c>
      <c r="AR104" s="146" t="str">
        <f>IFERROR(_xlfn.IFNA(IF($BA104="No",0,IF(INDEX(Constants!C:C,MATCH(($I104/12),Constants!$A:$A,0))=0,0,INDEX(Constants!C:C,MATCH(($I104/12),Constants!$A:$A,0)))),0),"")</f>
        <v/>
      </c>
      <c r="AS104" s="146" t="str">
        <f>IFERROR(_xlfn.IFNA(IF($BA104="No",0,IF(INDEX(Constants!D:D,MATCH(($I104/12),Constants!$A:$A,0))=0,0,INDEX(Constants!D:D,MATCH(($I104/12),Constants!$A:$A,0)))),0),"")</f>
        <v/>
      </c>
      <c r="AT104" s="146" t="str">
        <f>IFERROR(_xlfn.IFNA(IF($BA104="No",0,IF(INDEX(Constants!E:E,MATCH(($I104/12),Constants!$A:$A,0))=0,0,INDEX(Constants!E:E,MATCH(($I104/12),Constants!$A:$A,0)))),0),"")</f>
        <v/>
      </c>
      <c r="AU104" s="146" t="str">
        <f>IFERROR(_xlfn.IFNA(IF($BA104="No",0,IF(INDEX(Constants!F:F,MATCH(($I104/12),Constants!$A:$A,0))=0,0,INDEX(Constants!F:F,MATCH(($I104/12),Constants!$A:$A,0)))),0),"")</f>
        <v/>
      </c>
      <c r="AV104" s="146" t="str">
        <f>IFERROR(_xlfn.IFNA(IF($BA104="No",0,IF(INDEX(Constants!G:G,MATCH(($I104/12),Constants!$A:$A,0))=0,0,INDEX(Constants!G:G,MATCH(($I104/12),Constants!$A:$A,0)))),0),"")</f>
        <v/>
      </c>
      <c r="AW104" s="146" t="str">
        <f>IFERROR(_xlfn.IFNA(IF($BA104="No",0,IF(INDEX(Constants!H:H,MATCH(($I104/12),Constants!$A:$A,0))=0,0,INDEX(Constants!H:H,MATCH(($I104/12),Constants!$A:$A,0)))),0),"")</f>
        <v/>
      </c>
      <c r="AX104" s="146" t="str">
        <f>IFERROR(_xlfn.IFNA(IF($BA104="No",0,IF(INDEX(Constants!I:I,MATCH(($I104/12),Constants!$A:$A,0))=0,0,INDEX(Constants!I:I,MATCH(($I104/12),Constants!$A:$A,0)))),0),"")</f>
        <v/>
      </c>
      <c r="AY104" s="146" t="str">
        <f>IFERROR(_xlfn.IFNA(IF($BA104="No",0,IF(INDEX(Constants!J:J,MATCH(($I104/12),Constants!$A:$A,0))=0,0,INDEX(Constants!J:J,MATCH(($I104/12),Constants!$A:$A,0)))),0),"")</f>
        <v/>
      </c>
      <c r="AZ104" s="146" t="str">
        <f>IFERROR(_xlfn.IFNA(IF($BA104="No",0,IF(INDEX(Constants!K:K,MATCH(($I104/12),Constants!$A:$A,0))=0,0,INDEX(Constants!K:K,MATCH(($I104/12),Constants!$A:$A,0)))),0),"")</f>
        <v/>
      </c>
      <c r="BA104" s="147" t="str">
        <f>_xlfn.IFNA(INDEX(Producer!$L:$L,MATCH($D104,Producer!$A:$A,0)),"")</f>
        <v/>
      </c>
      <c r="BB104" s="146" t="str">
        <f>IFERROR(IF(AQ104=0,"",IF(($I104/12)=15,_xlfn.CONCAT(Constants!$N$7,TEXT(DATE(YEAR(H104)-(($I104/12)-3),MONTH(H104),DAY(H104)),"dd/mm/yyyy"),", ",Constants!$P$7,TEXT(DATE(YEAR(H104)-(($I104/12)-8),MONTH(H104),DAY(H104)),"dd/mm/yyyy"),", ",Constants!$T$7,TEXT(DATE(YEAR(H104)-(($I104/12)-11),MONTH(H104),DAY(H104)),"dd/mm/yyyy"),", ",Constants!$V$7,TEXT(DATE(YEAR(H104)-(($I104/12)-13),MONTH(H104),DAY(H104)),"dd/mm/yyyy"),", ",Constants!$W$7,TEXT($H104,"dd/mm/yyyy")),IF(($I104/12)=10,_xlfn.CONCAT(Constants!$N$6,TEXT(DATE(YEAR(H104)-(($I104/12)-2),MONTH(H104),DAY(H104)),"dd/mm/yyyy"),", ",Constants!$P$6,TEXT(DATE(YEAR(H104)-(($I104/12)-6),MONTH(H104),DAY(H104)),"dd/mm/yyyy"),", ",Constants!$T$6,TEXT(DATE(YEAR(H104)-(($I104/12)-8),MONTH(H104),DAY(H104)),"dd/mm/yyyy"),", ",Constants!$V$6,TEXT(DATE(YEAR(H104)-(($I104/12)-9),MONTH(H104),DAY(H104)),"dd/mm/yyyy"),", ",Constants!$W$6,TEXT($H104,"dd/mm/yyyy")),IF(($I104/12)=5,_xlfn.CONCAT(Constants!$N$5,TEXT(DATE(YEAR(H104)-(($I104/12)-1),MONTH(H104),DAY(H104)),"dd/mm/yyyy"),", ",Constants!$O$5,TEXT(DATE(YEAR(H104)-(($I104/12)-2),MONTH(H104),DAY(H104)),"dd/mm/yyyy"),", ",Constants!$P$5,TEXT(DATE(YEAR(H104)-(($I104/12)-3),MONTH(H104),DAY(H104)),"dd/mm/yyyy"),", ",Constants!$Q$5,TEXT(DATE(YEAR(H104)-(($I104/12)-4),MONTH(H104),DAY(H104)),"dd/mm/yyyy"),", ",Constants!$R$5,TEXT($H104,"dd/mm/yyyy")),IF(($I104/12)=3,_xlfn.CONCAT(Constants!$N$4,TEXT(DATE(YEAR(H104)-(($I104/12)-1),MONTH(H104),DAY(H104)),"dd/mm/yyyy"),", ",Constants!$O$4,TEXT(DATE(YEAR(H104)-(($I104/12)-2),MONTH(H104),DAY(H104)),"dd/mm/yyyy"),", ",Constants!$P$4,TEXT($H104,"dd/mm/yyyy")),IF(($I104/12)=2,_xlfn.CONCAT(Constants!$N$3,TEXT(DATE(YEAR(H104)-(($I104/12)-1),MONTH(H104),DAY(H104)),"dd/mm/yyyy"),", ",Constants!$O$3,TEXT($H104,"dd/mm/yyyy")),IF(($I104/12)=1,_xlfn.CONCAT(Constants!$N$2,TEXT($H104,"dd/mm/yyyy")),"Update Constants"))))))),"")</f>
        <v/>
      </c>
      <c r="BC104" s="147" t="str">
        <f>_xlfn.IFNA(VALUE(INDEX(Producer!$K:$K,MATCH($D104,Producer!$A:$A,0))),"")</f>
        <v/>
      </c>
      <c r="BD104" s="147" t="str">
        <f>_xlfn.IFNA(INDEX(Producer!$I:$I,MATCH($D104,Producer!$A:$A,0)),"")</f>
        <v/>
      </c>
      <c r="BE104" s="147" t="str">
        <f t="shared" si="36"/>
        <v/>
      </c>
      <c r="BF104" s="147"/>
      <c r="BG104" s="147"/>
      <c r="BH104" s="151" t="str">
        <f>_xlfn.IFNA(INDEX(Constants!$B:$B,MATCH(BC104,Constants!A:A,0)),"")</f>
        <v/>
      </c>
      <c r="BI104" s="147" t="str">
        <f>IF(LEFT(B104,15)="Limited Company",Constants!$D$16,IFERROR(_xlfn.IFNA(IF(C104="Residential",IF(BK104&lt;75,INDEX(Constants!$B:$B,MATCH(VALUE(60)/100,Constants!$A:$A,0)),INDEX(Constants!$B:$B,MATCH(VALUE(BK104)/100,Constants!$A:$A,0))),IF(BK104&lt;60,INDEX(Constants!$C:$C,MATCH(VALUE(60)/100,Constants!$A:$A,0)),INDEX(Constants!$C:$C,MATCH(VALUE(BK104)/100,Constants!$A:$A,0)))),""),""))</f>
        <v/>
      </c>
      <c r="BJ104" s="147" t="str">
        <f t="shared" si="37"/>
        <v/>
      </c>
      <c r="BK104" s="147" t="str">
        <f>_xlfn.IFNA(VALUE(INDEX(Producer!$E:$E,MATCH($D104,Producer!$A:$A,0)))*100,"")</f>
        <v/>
      </c>
      <c r="BL104" s="146" t="str">
        <f>_xlfn.IFNA(IF(IFERROR(FIND("Part &amp; Part",B104),-10)&gt;0,"PP",IF(OR(LEFT(B104,25)="Residential Interest Only",INDEX(Producer!$P:$P,MATCH($D104,Producer!$A:$A,0))="IO",INDEX(Producer!$P:$P,MATCH($D104,Producer!$A:$A,0))="Retirement Interest Only"),"IO",IF($C104="BuyToLet","CI, IO","CI"))),"")</f>
        <v/>
      </c>
      <c r="BM104" s="152" t="str">
        <f>_xlfn.IFNA(IF(BL104="IO",100%,IF(AND(INDEX(Producer!$P:$P,MATCH($D104,Producer!$A:$A,0))="Residential Interest Only Part &amp; Part",BK104=75),80%,IF(C104="BuyToLet",100%,IF(BL104="Interest Only",100%,IF(AND(INDEX(Producer!$P:$P,MATCH($D104,Producer!$A:$A,0))="Residential Interest Only Part &amp; Part",BK104=60),100%,""))))),"")</f>
        <v/>
      </c>
      <c r="BN104" s="218" t="str">
        <f>_xlfn.IFNA(IF(VALUE(INDEX(Producer!$H:$H,MATCH($D104,Producer!$A:$A,0)))=0,"",VALUE(INDEX(Producer!$H:$H,MATCH($D104,Producer!$A:$A,0)))),"")</f>
        <v/>
      </c>
      <c r="BO104" s="153"/>
      <c r="BP104" s="153"/>
      <c r="BQ104" s="219" t="str">
        <f t="shared" si="38"/>
        <v/>
      </c>
      <c r="BR104" s="146"/>
      <c r="BS104" s="146"/>
      <c r="BT104" s="146"/>
      <c r="BU104" s="146"/>
      <c r="BV104" s="219" t="str">
        <f t="shared" si="39"/>
        <v/>
      </c>
      <c r="BW104" s="146"/>
      <c r="BX104" s="146"/>
      <c r="BY104" s="146" t="str">
        <f t="shared" si="40"/>
        <v/>
      </c>
      <c r="BZ104" s="146" t="str">
        <f t="shared" si="41"/>
        <v/>
      </c>
      <c r="CA104" s="146" t="str">
        <f t="shared" si="42"/>
        <v/>
      </c>
      <c r="CB104" s="146" t="str">
        <f t="shared" si="43"/>
        <v/>
      </c>
      <c r="CC104" s="146" t="str">
        <f>_xlfn.IFNA(IF(INDEX(Producer!$P:$P,MATCH($D104,Producer!$A:$A,0))="Help to Buy","Only available","No"),"")</f>
        <v/>
      </c>
      <c r="CD104" s="146" t="str">
        <f>_xlfn.IFNA(IF(INDEX(Producer!$P:$P,MATCH($D104,Producer!$A:$A,0))="Shared Ownership","Only available","No"),"")</f>
        <v/>
      </c>
      <c r="CE104" s="146" t="str">
        <f>_xlfn.IFNA(IF(INDEX(Producer!$P:$P,MATCH($D104,Producer!$A:$A,0))="Right to Buy","Only available","No"),"")</f>
        <v/>
      </c>
      <c r="CF104" s="146" t="str">
        <f t="shared" si="44"/>
        <v/>
      </c>
      <c r="CG104" s="146" t="str">
        <f>_xlfn.IFNA(IF(INDEX(Producer!$P:$P,MATCH($D104,Producer!$A:$A,0))="Retirement Interest Only","Only available","No"),"")</f>
        <v/>
      </c>
      <c r="CH104" s="146" t="str">
        <f t="shared" si="45"/>
        <v/>
      </c>
      <c r="CI104" s="146" t="str">
        <f>_xlfn.IFNA(IF(INDEX(Producer!$P:$P,MATCH($D104,Producer!$A:$A,0))="Intermediary Holiday Let","Only available","No"),"")</f>
        <v/>
      </c>
      <c r="CJ104" s="146" t="str">
        <f t="shared" si="46"/>
        <v/>
      </c>
      <c r="CK104" s="146" t="str">
        <f>_xlfn.IFNA(IF(OR(INDEX(Producer!$P:$P,MATCH($D104,Producer!$A:$A,0))="Intermediary Small HMO",INDEX(Producer!$P:$P,MATCH($D104,Producer!$A:$A,0))="Intermediary Large HMO"),"Only available","No"),"")</f>
        <v/>
      </c>
      <c r="CL104" s="146" t="str">
        <f t="shared" si="47"/>
        <v/>
      </c>
      <c r="CM104" s="146" t="str">
        <f t="shared" si="48"/>
        <v/>
      </c>
      <c r="CN104" s="146" t="str">
        <f t="shared" si="49"/>
        <v/>
      </c>
      <c r="CO104" s="146" t="str">
        <f t="shared" si="50"/>
        <v/>
      </c>
      <c r="CP104" s="146" t="str">
        <f t="shared" si="51"/>
        <v/>
      </c>
      <c r="CQ104" s="146" t="str">
        <f t="shared" si="52"/>
        <v/>
      </c>
      <c r="CR104" s="146" t="str">
        <f t="shared" si="53"/>
        <v/>
      </c>
      <c r="CS104" s="146" t="str">
        <f t="shared" si="54"/>
        <v/>
      </c>
      <c r="CT104" s="146" t="str">
        <f t="shared" si="55"/>
        <v/>
      </c>
      <c r="CU104" s="146"/>
    </row>
    <row r="105" spans="1:99" ht="16.399999999999999" customHeight="1" x14ac:dyDescent="0.35">
      <c r="A105" s="145" t="str">
        <f t="shared" si="28"/>
        <v/>
      </c>
      <c r="B105" s="145" t="str">
        <f>_xlfn.IFNA(_xlfn.CONCAT(INDEX(Producer!$P:$P,MATCH($D105,Producer!$A:$A,0))," ",IF(INDEX(Producer!$N:$N,MATCH($D105,Producer!$A:$A,0))="Yes","Green ",""),IF(AND(INDEX(Producer!$L:$L,MATCH($D105,Producer!$A:$A,0))="No",INDEX(Producer!$C:$C,MATCH($D105,Producer!$A:$A,0))="Fixed"),"Flexit ",""),INDEX(Producer!$B:$B,MATCH($D105,Producer!$A:$A,0))," Year ",INDEX(Producer!$C:$C,MATCH($D105,Producer!$A:$A,0))," ",VALUE(INDEX(Producer!$E:$E,MATCH($D105,Producer!$A:$A,0)))*100,"% LTV",IF(INDEX(Producer!$N:$N,MATCH($D105,Producer!$A:$A,0))="Yes"," (EPC A-C)","")," - ",IF(INDEX(Producer!$D:$D,MATCH($D105,Producer!$A:$A,0))="DLY","Daily","Annual")),"")</f>
        <v/>
      </c>
      <c r="C105" s="146" t="str">
        <f>_xlfn.IFNA(INDEX(Producer!$Q:$Q,MATCH($D105,Producer!$A:$A,0)),"")</f>
        <v/>
      </c>
      <c r="D105" s="146" t="str">
        <f>IFERROR(VALUE(MID(Producer!$R$2,IF($D104="",1/0,FIND(_xlfn.CONCAT($D103,$D104),Producer!$R$2)+10),5)),"")</f>
        <v/>
      </c>
      <c r="E105" s="146" t="str">
        <f t="shared" si="29"/>
        <v/>
      </c>
      <c r="F105" s="146"/>
      <c r="G105" s="147" t="str">
        <f>_xlfn.IFNA(VALUE(INDEX(Producer!$F:$F,MATCH($D105,Producer!$A:$A,0)))*100,"")</f>
        <v/>
      </c>
      <c r="H105" s="216" t="str">
        <f>_xlfn.IFNA(IFERROR(DATEVALUE(INDEX(Producer!$M:$M,MATCH($D105,Producer!$A:$A,0))),(INDEX(Producer!$M:$M,MATCH($D105,Producer!$A:$A,0)))),"")</f>
        <v/>
      </c>
      <c r="I105" s="217" t="str">
        <f>_xlfn.IFNA(VALUE(INDEX(Producer!$B:$B,MATCH($D105,Producer!$A:$A,0)))*12,"")</f>
        <v/>
      </c>
      <c r="J105" s="146" t="str">
        <f>_xlfn.IFNA(IF(C105="Residential",IF(VALUE(INDEX(Producer!$B:$B,MATCH($D105,Producer!$A:$A,0)))&lt;5,Constants!$C$10,""),IF(VALUE(INDEX(Producer!$B:$B,MATCH($D105,Producer!$A:$A,0)))&lt;5,Constants!$C$11,"")),"")</f>
        <v/>
      </c>
      <c r="K105" s="216" t="str">
        <f>_xlfn.IFNA(IF(($I105)&lt;60,DATE(YEAR(H105)+(5-VALUE(INDEX(Producer!$B:$B,MATCH($D105,Producer!$A:$A,0)))),MONTH(H105),DAY(H105)),""),"")</f>
        <v/>
      </c>
      <c r="L105" s="153" t="str">
        <f t="shared" si="30"/>
        <v/>
      </c>
      <c r="M105" s="146"/>
      <c r="N105" s="148"/>
      <c r="O105" s="148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 t="str">
        <f>IF(D105="","",IF(C105="Residential",Constants!$B$10,Constants!$B$11))</f>
        <v/>
      </c>
      <c r="AL105" s="146" t="str">
        <f t="shared" si="31"/>
        <v/>
      </c>
      <c r="AM105" s="206" t="str">
        <f t="shared" si="32"/>
        <v/>
      </c>
      <c r="AN105" s="146" t="str">
        <f t="shared" si="33"/>
        <v/>
      </c>
      <c r="AO105" s="149" t="str">
        <f t="shared" si="34"/>
        <v/>
      </c>
      <c r="AP105" s="150" t="str">
        <f t="shared" si="35"/>
        <v/>
      </c>
      <c r="AQ105" s="146" t="str">
        <f>IFERROR(_xlfn.IFNA(IF($BA105="No",0,IF(INDEX(Constants!B:B,MATCH(($I105/12),Constants!$A:$A,0))=0,0,INDEX(Constants!B:B,MATCH(($I105/12),Constants!$A:$A,0)))),0),"")</f>
        <v/>
      </c>
      <c r="AR105" s="146" t="str">
        <f>IFERROR(_xlfn.IFNA(IF($BA105="No",0,IF(INDEX(Constants!C:C,MATCH(($I105/12),Constants!$A:$A,0))=0,0,INDEX(Constants!C:C,MATCH(($I105/12),Constants!$A:$A,0)))),0),"")</f>
        <v/>
      </c>
      <c r="AS105" s="146" t="str">
        <f>IFERROR(_xlfn.IFNA(IF($BA105="No",0,IF(INDEX(Constants!D:D,MATCH(($I105/12),Constants!$A:$A,0))=0,0,INDEX(Constants!D:D,MATCH(($I105/12),Constants!$A:$A,0)))),0),"")</f>
        <v/>
      </c>
      <c r="AT105" s="146" t="str">
        <f>IFERROR(_xlfn.IFNA(IF($BA105="No",0,IF(INDEX(Constants!E:E,MATCH(($I105/12),Constants!$A:$A,0))=0,0,INDEX(Constants!E:E,MATCH(($I105/12),Constants!$A:$A,0)))),0),"")</f>
        <v/>
      </c>
      <c r="AU105" s="146" t="str">
        <f>IFERROR(_xlfn.IFNA(IF($BA105="No",0,IF(INDEX(Constants!F:F,MATCH(($I105/12),Constants!$A:$A,0))=0,0,INDEX(Constants!F:F,MATCH(($I105/12),Constants!$A:$A,0)))),0),"")</f>
        <v/>
      </c>
      <c r="AV105" s="146" t="str">
        <f>IFERROR(_xlfn.IFNA(IF($BA105="No",0,IF(INDEX(Constants!G:G,MATCH(($I105/12),Constants!$A:$A,0))=0,0,INDEX(Constants!G:G,MATCH(($I105/12),Constants!$A:$A,0)))),0),"")</f>
        <v/>
      </c>
      <c r="AW105" s="146" t="str">
        <f>IFERROR(_xlfn.IFNA(IF($BA105="No",0,IF(INDEX(Constants!H:H,MATCH(($I105/12),Constants!$A:$A,0))=0,0,INDEX(Constants!H:H,MATCH(($I105/12),Constants!$A:$A,0)))),0),"")</f>
        <v/>
      </c>
      <c r="AX105" s="146" t="str">
        <f>IFERROR(_xlfn.IFNA(IF($BA105="No",0,IF(INDEX(Constants!I:I,MATCH(($I105/12),Constants!$A:$A,0))=0,0,INDEX(Constants!I:I,MATCH(($I105/12),Constants!$A:$A,0)))),0),"")</f>
        <v/>
      </c>
      <c r="AY105" s="146" t="str">
        <f>IFERROR(_xlfn.IFNA(IF($BA105="No",0,IF(INDEX(Constants!J:J,MATCH(($I105/12),Constants!$A:$A,0))=0,0,INDEX(Constants!J:J,MATCH(($I105/12),Constants!$A:$A,0)))),0),"")</f>
        <v/>
      </c>
      <c r="AZ105" s="146" t="str">
        <f>IFERROR(_xlfn.IFNA(IF($BA105="No",0,IF(INDEX(Constants!K:K,MATCH(($I105/12),Constants!$A:$A,0))=0,0,INDEX(Constants!K:K,MATCH(($I105/12),Constants!$A:$A,0)))),0),"")</f>
        <v/>
      </c>
      <c r="BA105" s="147" t="str">
        <f>_xlfn.IFNA(INDEX(Producer!$L:$L,MATCH($D105,Producer!$A:$A,0)),"")</f>
        <v/>
      </c>
      <c r="BB105" s="146" t="str">
        <f>IFERROR(IF(AQ105=0,"",IF(($I105/12)=15,_xlfn.CONCAT(Constants!$N$7,TEXT(DATE(YEAR(H105)-(($I105/12)-3),MONTH(H105),DAY(H105)),"dd/mm/yyyy"),", ",Constants!$P$7,TEXT(DATE(YEAR(H105)-(($I105/12)-8),MONTH(H105),DAY(H105)),"dd/mm/yyyy"),", ",Constants!$T$7,TEXT(DATE(YEAR(H105)-(($I105/12)-11),MONTH(H105),DAY(H105)),"dd/mm/yyyy"),", ",Constants!$V$7,TEXT(DATE(YEAR(H105)-(($I105/12)-13),MONTH(H105),DAY(H105)),"dd/mm/yyyy"),", ",Constants!$W$7,TEXT($H105,"dd/mm/yyyy")),IF(($I105/12)=10,_xlfn.CONCAT(Constants!$N$6,TEXT(DATE(YEAR(H105)-(($I105/12)-2),MONTH(H105),DAY(H105)),"dd/mm/yyyy"),", ",Constants!$P$6,TEXT(DATE(YEAR(H105)-(($I105/12)-6),MONTH(H105),DAY(H105)),"dd/mm/yyyy"),", ",Constants!$T$6,TEXT(DATE(YEAR(H105)-(($I105/12)-8),MONTH(H105),DAY(H105)),"dd/mm/yyyy"),", ",Constants!$V$6,TEXT(DATE(YEAR(H105)-(($I105/12)-9),MONTH(H105),DAY(H105)),"dd/mm/yyyy"),", ",Constants!$W$6,TEXT($H105,"dd/mm/yyyy")),IF(($I105/12)=5,_xlfn.CONCAT(Constants!$N$5,TEXT(DATE(YEAR(H105)-(($I105/12)-1),MONTH(H105),DAY(H105)),"dd/mm/yyyy"),", ",Constants!$O$5,TEXT(DATE(YEAR(H105)-(($I105/12)-2),MONTH(H105),DAY(H105)),"dd/mm/yyyy"),", ",Constants!$P$5,TEXT(DATE(YEAR(H105)-(($I105/12)-3),MONTH(H105),DAY(H105)),"dd/mm/yyyy"),", ",Constants!$Q$5,TEXT(DATE(YEAR(H105)-(($I105/12)-4),MONTH(H105),DAY(H105)),"dd/mm/yyyy"),", ",Constants!$R$5,TEXT($H105,"dd/mm/yyyy")),IF(($I105/12)=3,_xlfn.CONCAT(Constants!$N$4,TEXT(DATE(YEAR(H105)-(($I105/12)-1),MONTH(H105),DAY(H105)),"dd/mm/yyyy"),", ",Constants!$O$4,TEXT(DATE(YEAR(H105)-(($I105/12)-2),MONTH(H105),DAY(H105)),"dd/mm/yyyy"),", ",Constants!$P$4,TEXT($H105,"dd/mm/yyyy")),IF(($I105/12)=2,_xlfn.CONCAT(Constants!$N$3,TEXT(DATE(YEAR(H105)-(($I105/12)-1),MONTH(H105),DAY(H105)),"dd/mm/yyyy"),", ",Constants!$O$3,TEXT($H105,"dd/mm/yyyy")),IF(($I105/12)=1,_xlfn.CONCAT(Constants!$N$2,TEXT($H105,"dd/mm/yyyy")),"Update Constants"))))))),"")</f>
        <v/>
      </c>
      <c r="BC105" s="147" t="str">
        <f>_xlfn.IFNA(VALUE(INDEX(Producer!$K:$K,MATCH($D105,Producer!$A:$A,0))),"")</f>
        <v/>
      </c>
      <c r="BD105" s="147" t="str">
        <f>_xlfn.IFNA(INDEX(Producer!$I:$I,MATCH($D105,Producer!$A:$A,0)),"")</f>
        <v/>
      </c>
      <c r="BE105" s="147" t="str">
        <f t="shared" si="36"/>
        <v/>
      </c>
      <c r="BF105" s="147"/>
      <c r="BG105" s="147"/>
      <c r="BH105" s="151" t="str">
        <f>_xlfn.IFNA(INDEX(Constants!$B:$B,MATCH(BC105,Constants!A:A,0)),"")</f>
        <v/>
      </c>
      <c r="BI105" s="147" t="str">
        <f>IF(LEFT(B105,15)="Limited Company",Constants!$D$16,IFERROR(_xlfn.IFNA(IF(C105="Residential",IF(BK105&lt;75,INDEX(Constants!$B:$B,MATCH(VALUE(60)/100,Constants!$A:$A,0)),INDEX(Constants!$B:$B,MATCH(VALUE(BK105)/100,Constants!$A:$A,0))),IF(BK105&lt;60,INDEX(Constants!$C:$C,MATCH(VALUE(60)/100,Constants!$A:$A,0)),INDEX(Constants!$C:$C,MATCH(VALUE(BK105)/100,Constants!$A:$A,0)))),""),""))</f>
        <v/>
      </c>
      <c r="BJ105" s="147" t="str">
        <f t="shared" si="37"/>
        <v/>
      </c>
      <c r="BK105" s="147" t="str">
        <f>_xlfn.IFNA(VALUE(INDEX(Producer!$E:$E,MATCH($D105,Producer!$A:$A,0)))*100,"")</f>
        <v/>
      </c>
      <c r="BL105" s="146" t="str">
        <f>_xlfn.IFNA(IF(IFERROR(FIND("Part &amp; Part",B105),-10)&gt;0,"PP",IF(OR(LEFT(B105,25)="Residential Interest Only",INDEX(Producer!$P:$P,MATCH($D105,Producer!$A:$A,0))="IO",INDEX(Producer!$P:$P,MATCH($D105,Producer!$A:$A,0))="Retirement Interest Only"),"IO",IF($C105="BuyToLet","CI, IO","CI"))),"")</f>
        <v/>
      </c>
      <c r="BM105" s="152" t="str">
        <f>_xlfn.IFNA(IF(BL105="IO",100%,IF(AND(INDEX(Producer!$P:$P,MATCH($D105,Producer!$A:$A,0))="Residential Interest Only Part &amp; Part",BK105=75),80%,IF(C105="BuyToLet",100%,IF(BL105="Interest Only",100%,IF(AND(INDEX(Producer!$P:$P,MATCH($D105,Producer!$A:$A,0))="Residential Interest Only Part &amp; Part",BK105=60),100%,""))))),"")</f>
        <v/>
      </c>
      <c r="BN105" s="218" t="str">
        <f>_xlfn.IFNA(IF(VALUE(INDEX(Producer!$H:$H,MATCH($D105,Producer!$A:$A,0)))=0,"",VALUE(INDEX(Producer!$H:$H,MATCH($D105,Producer!$A:$A,0)))),"")</f>
        <v/>
      </c>
      <c r="BO105" s="153"/>
      <c r="BP105" s="153"/>
      <c r="BQ105" s="219" t="str">
        <f t="shared" si="38"/>
        <v/>
      </c>
      <c r="BR105" s="146"/>
      <c r="BS105" s="146"/>
      <c r="BT105" s="146"/>
      <c r="BU105" s="146"/>
      <c r="BV105" s="219" t="str">
        <f t="shared" si="39"/>
        <v/>
      </c>
      <c r="BW105" s="146"/>
      <c r="BX105" s="146"/>
      <c r="BY105" s="146" t="str">
        <f t="shared" si="40"/>
        <v/>
      </c>
      <c r="BZ105" s="146" t="str">
        <f t="shared" si="41"/>
        <v/>
      </c>
      <c r="CA105" s="146" t="str">
        <f t="shared" si="42"/>
        <v/>
      </c>
      <c r="CB105" s="146" t="str">
        <f t="shared" si="43"/>
        <v/>
      </c>
      <c r="CC105" s="146" t="str">
        <f>_xlfn.IFNA(IF(INDEX(Producer!$P:$P,MATCH($D105,Producer!$A:$A,0))="Help to Buy","Only available","No"),"")</f>
        <v/>
      </c>
      <c r="CD105" s="146" t="str">
        <f>_xlfn.IFNA(IF(INDEX(Producer!$P:$P,MATCH($D105,Producer!$A:$A,0))="Shared Ownership","Only available","No"),"")</f>
        <v/>
      </c>
      <c r="CE105" s="146" t="str">
        <f>_xlfn.IFNA(IF(INDEX(Producer!$P:$P,MATCH($D105,Producer!$A:$A,0))="Right to Buy","Only available","No"),"")</f>
        <v/>
      </c>
      <c r="CF105" s="146" t="str">
        <f t="shared" si="44"/>
        <v/>
      </c>
      <c r="CG105" s="146" t="str">
        <f>_xlfn.IFNA(IF(INDEX(Producer!$P:$P,MATCH($D105,Producer!$A:$A,0))="Retirement Interest Only","Only available","No"),"")</f>
        <v/>
      </c>
      <c r="CH105" s="146" t="str">
        <f t="shared" si="45"/>
        <v/>
      </c>
      <c r="CI105" s="146" t="str">
        <f>_xlfn.IFNA(IF(INDEX(Producer!$P:$P,MATCH($D105,Producer!$A:$A,0))="Intermediary Holiday Let","Only available","No"),"")</f>
        <v/>
      </c>
      <c r="CJ105" s="146" t="str">
        <f t="shared" si="46"/>
        <v/>
      </c>
      <c r="CK105" s="146" t="str">
        <f>_xlfn.IFNA(IF(OR(INDEX(Producer!$P:$P,MATCH($D105,Producer!$A:$A,0))="Intermediary Small HMO",INDEX(Producer!$P:$P,MATCH($D105,Producer!$A:$A,0))="Intermediary Large HMO"),"Only available","No"),"")</f>
        <v/>
      </c>
      <c r="CL105" s="146" t="str">
        <f t="shared" si="47"/>
        <v/>
      </c>
      <c r="CM105" s="146" t="str">
        <f t="shared" si="48"/>
        <v/>
      </c>
      <c r="CN105" s="146" t="str">
        <f t="shared" si="49"/>
        <v/>
      </c>
      <c r="CO105" s="146" t="str">
        <f t="shared" si="50"/>
        <v/>
      </c>
      <c r="CP105" s="146" t="str">
        <f t="shared" si="51"/>
        <v/>
      </c>
      <c r="CQ105" s="146" t="str">
        <f t="shared" si="52"/>
        <v/>
      </c>
      <c r="CR105" s="146" t="str">
        <f t="shared" si="53"/>
        <v/>
      </c>
      <c r="CS105" s="146" t="str">
        <f t="shared" si="54"/>
        <v/>
      </c>
      <c r="CT105" s="146" t="str">
        <f t="shared" si="55"/>
        <v/>
      </c>
      <c r="CU105" s="146"/>
    </row>
    <row r="106" spans="1:99" ht="16.399999999999999" customHeight="1" x14ac:dyDescent="0.35">
      <c r="A106" s="145" t="str">
        <f t="shared" si="28"/>
        <v/>
      </c>
      <c r="B106" s="145" t="str">
        <f>_xlfn.IFNA(_xlfn.CONCAT(INDEX(Producer!$P:$P,MATCH($D106,Producer!$A:$A,0))," ",IF(INDEX(Producer!$N:$N,MATCH($D106,Producer!$A:$A,0))="Yes","Green ",""),IF(AND(INDEX(Producer!$L:$L,MATCH($D106,Producer!$A:$A,0))="No",INDEX(Producer!$C:$C,MATCH($D106,Producer!$A:$A,0))="Fixed"),"Flexit ",""),INDEX(Producer!$B:$B,MATCH($D106,Producer!$A:$A,0))," Year ",INDEX(Producer!$C:$C,MATCH($D106,Producer!$A:$A,0))," ",VALUE(INDEX(Producer!$E:$E,MATCH($D106,Producer!$A:$A,0)))*100,"% LTV",IF(INDEX(Producer!$N:$N,MATCH($D106,Producer!$A:$A,0))="Yes"," (EPC A-C)","")," - ",IF(INDEX(Producer!$D:$D,MATCH($D106,Producer!$A:$A,0))="DLY","Daily","Annual")),"")</f>
        <v/>
      </c>
      <c r="C106" s="146" t="str">
        <f>_xlfn.IFNA(INDEX(Producer!$Q:$Q,MATCH($D106,Producer!$A:$A,0)),"")</f>
        <v/>
      </c>
      <c r="D106" s="146" t="str">
        <f>IFERROR(VALUE(MID(Producer!$R$2,IF($D105="",1/0,FIND(_xlfn.CONCAT($D104,$D105),Producer!$R$2)+10),5)),"")</f>
        <v/>
      </c>
      <c r="E106" s="146" t="str">
        <f t="shared" si="29"/>
        <v/>
      </c>
      <c r="F106" s="146"/>
      <c r="G106" s="147" t="str">
        <f>_xlfn.IFNA(VALUE(INDEX(Producer!$F:$F,MATCH($D106,Producer!$A:$A,0)))*100,"")</f>
        <v/>
      </c>
      <c r="H106" s="216" t="str">
        <f>_xlfn.IFNA(IFERROR(DATEVALUE(INDEX(Producer!$M:$M,MATCH($D106,Producer!$A:$A,0))),(INDEX(Producer!$M:$M,MATCH($D106,Producer!$A:$A,0)))),"")</f>
        <v/>
      </c>
      <c r="I106" s="217" t="str">
        <f>_xlfn.IFNA(VALUE(INDEX(Producer!$B:$B,MATCH($D106,Producer!$A:$A,0)))*12,"")</f>
        <v/>
      </c>
      <c r="J106" s="146" t="str">
        <f>_xlfn.IFNA(IF(C106="Residential",IF(VALUE(INDEX(Producer!$B:$B,MATCH($D106,Producer!$A:$A,0)))&lt;5,Constants!$C$10,""),IF(VALUE(INDEX(Producer!$B:$B,MATCH($D106,Producer!$A:$A,0)))&lt;5,Constants!$C$11,"")),"")</f>
        <v/>
      </c>
      <c r="K106" s="216" t="str">
        <f>_xlfn.IFNA(IF(($I106)&lt;60,DATE(YEAR(H106)+(5-VALUE(INDEX(Producer!$B:$B,MATCH($D106,Producer!$A:$A,0)))),MONTH(H106),DAY(H106)),""),"")</f>
        <v/>
      </c>
      <c r="L106" s="153" t="str">
        <f t="shared" si="30"/>
        <v/>
      </c>
      <c r="M106" s="146"/>
      <c r="N106" s="148"/>
      <c r="O106" s="148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 t="str">
        <f>IF(D106="","",IF(C106="Residential",Constants!$B$10,Constants!$B$11))</f>
        <v/>
      </c>
      <c r="AL106" s="146" t="str">
        <f t="shared" si="31"/>
        <v/>
      </c>
      <c r="AM106" s="206" t="str">
        <f t="shared" si="32"/>
        <v/>
      </c>
      <c r="AN106" s="146" t="str">
        <f t="shared" si="33"/>
        <v/>
      </c>
      <c r="AO106" s="149" t="str">
        <f t="shared" si="34"/>
        <v/>
      </c>
      <c r="AP106" s="150" t="str">
        <f t="shared" si="35"/>
        <v/>
      </c>
      <c r="AQ106" s="146" t="str">
        <f>IFERROR(_xlfn.IFNA(IF($BA106="No",0,IF(INDEX(Constants!B:B,MATCH(($I106/12),Constants!$A:$A,0))=0,0,INDEX(Constants!B:B,MATCH(($I106/12),Constants!$A:$A,0)))),0),"")</f>
        <v/>
      </c>
      <c r="AR106" s="146" t="str">
        <f>IFERROR(_xlfn.IFNA(IF($BA106="No",0,IF(INDEX(Constants!C:C,MATCH(($I106/12),Constants!$A:$A,0))=0,0,INDEX(Constants!C:C,MATCH(($I106/12),Constants!$A:$A,0)))),0),"")</f>
        <v/>
      </c>
      <c r="AS106" s="146" t="str">
        <f>IFERROR(_xlfn.IFNA(IF($BA106="No",0,IF(INDEX(Constants!D:D,MATCH(($I106/12),Constants!$A:$A,0))=0,0,INDEX(Constants!D:D,MATCH(($I106/12),Constants!$A:$A,0)))),0),"")</f>
        <v/>
      </c>
      <c r="AT106" s="146" t="str">
        <f>IFERROR(_xlfn.IFNA(IF($BA106="No",0,IF(INDEX(Constants!E:E,MATCH(($I106/12),Constants!$A:$A,0))=0,0,INDEX(Constants!E:E,MATCH(($I106/12),Constants!$A:$A,0)))),0),"")</f>
        <v/>
      </c>
      <c r="AU106" s="146" t="str">
        <f>IFERROR(_xlfn.IFNA(IF($BA106="No",0,IF(INDEX(Constants!F:F,MATCH(($I106/12),Constants!$A:$A,0))=0,0,INDEX(Constants!F:F,MATCH(($I106/12),Constants!$A:$A,0)))),0),"")</f>
        <v/>
      </c>
      <c r="AV106" s="146" t="str">
        <f>IFERROR(_xlfn.IFNA(IF($BA106="No",0,IF(INDEX(Constants!G:G,MATCH(($I106/12),Constants!$A:$A,0))=0,0,INDEX(Constants!G:G,MATCH(($I106/12),Constants!$A:$A,0)))),0),"")</f>
        <v/>
      </c>
      <c r="AW106" s="146" t="str">
        <f>IFERROR(_xlfn.IFNA(IF($BA106="No",0,IF(INDEX(Constants!H:H,MATCH(($I106/12),Constants!$A:$A,0))=0,0,INDEX(Constants!H:H,MATCH(($I106/12),Constants!$A:$A,0)))),0),"")</f>
        <v/>
      </c>
      <c r="AX106" s="146" t="str">
        <f>IFERROR(_xlfn.IFNA(IF($BA106="No",0,IF(INDEX(Constants!I:I,MATCH(($I106/12),Constants!$A:$A,0))=0,0,INDEX(Constants!I:I,MATCH(($I106/12),Constants!$A:$A,0)))),0),"")</f>
        <v/>
      </c>
      <c r="AY106" s="146" t="str">
        <f>IFERROR(_xlfn.IFNA(IF($BA106="No",0,IF(INDEX(Constants!J:J,MATCH(($I106/12),Constants!$A:$A,0))=0,0,INDEX(Constants!J:J,MATCH(($I106/12),Constants!$A:$A,0)))),0),"")</f>
        <v/>
      </c>
      <c r="AZ106" s="146" t="str">
        <f>IFERROR(_xlfn.IFNA(IF($BA106="No",0,IF(INDEX(Constants!K:K,MATCH(($I106/12),Constants!$A:$A,0))=0,0,INDEX(Constants!K:K,MATCH(($I106/12),Constants!$A:$A,0)))),0),"")</f>
        <v/>
      </c>
      <c r="BA106" s="147" t="str">
        <f>_xlfn.IFNA(INDEX(Producer!$L:$L,MATCH($D106,Producer!$A:$A,0)),"")</f>
        <v/>
      </c>
      <c r="BB106" s="146" t="str">
        <f>IFERROR(IF(AQ106=0,"",IF(($I106/12)=15,_xlfn.CONCAT(Constants!$N$7,TEXT(DATE(YEAR(H106)-(($I106/12)-3),MONTH(H106),DAY(H106)),"dd/mm/yyyy"),", ",Constants!$P$7,TEXT(DATE(YEAR(H106)-(($I106/12)-8),MONTH(H106),DAY(H106)),"dd/mm/yyyy"),", ",Constants!$T$7,TEXT(DATE(YEAR(H106)-(($I106/12)-11),MONTH(H106),DAY(H106)),"dd/mm/yyyy"),", ",Constants!$V$7,TEXT(DATE(YEAR(H106)-(($I106/12)-13),MONTH(H106),DAY(H106)),"dd/mm/yyyy"),", ",Constants!$W$7,TEXT($H106,"dd/mm/yyyy")),IF(($I106/12)=10,_xlfn.CONCAT(Constants!$N$6,TEXT(DATE(YEAR(H106)-(($I106/12)-2),MONTH(H106),DAY(H106)),"dd/mm/yyyy"),", ",Constants!$P$6,TEXT(DATE(YEAR(H106)-(($I106/12)-6),MONTH(H106),DAY(H106)),"dd/mm/yyyy"),", ",Constants!$T$6,TEXT(DATE(YEAR(H106)-(($I106/12)-8),MONTH(H106),DAY(H106)),"dd/mm/yyyy"),", ",Constants!$V$6,TEXT(DATE(YEAR(H106)-(($I106/12)-9),MONTH(H106),DAY(H106)),"dd/mm/yyyy"),", ",Constants!$W$6,TEXT($H106,"dd/mm/yyyy")),IF(($I106/12)=5,_xlfn.CONCAT(Constants!$N$5,TEXT(DATE(YEAR(H106)-(($I106/12)-1),MONTH(H106),DAY(H106)),"dd/mm/yyyy"),", ",Constants!$O$5,TEXT(DATE(YEAR(H106)-(($I106/12)-2),MONTH(H106),DAY(H106)),"dd/mm/yyyy"),", ",Constants!$P$5,TEXT(DATE(YEAR(H106)-(($I106/12)-3),MONTH(H106),DAY(H106)),"dd/mm/yyyy"),", ",Constants!$Q$5,TEXT(DATE(YEAR(H106)-(($I106/12)-4),MONTH(H106),DAY(H106)),"dd/mm/yyyy"),", ",Constants!$R$5,TEXT($H106,"dd/mm/yyyy")),IF(($I106/12)=3,_xlfn.CONCAT(Constants!$N$4,TEXT(DATE(YEAR(H106)-(($I106/12)-1),MONTH(H106),DAY(H106)),"dd/mm/yyyy"),", ",Constants!$O$4,TEXT(DATE(YEAR(H106)-(($I106/12)-2),MONTH(H106),DAY(H106)),"dd/mm/yyyy"),", ",Constants!$P$4,TEXT($H106,"dd/mm/yyyy")),IF(($I106/12)=2,_xlfn.CONCAT(Constants!$N$3,TEXT(DATE(YEAR(H106)-(($I106/12)-1),MONTH(H106),DAY(H106)),"dd/mm/yyyy"),", ",Constants!$O$3,TEXT($H106,"dd/mm/yyyy")),IF(($I106/12)=1,_xlfn.CONCAT(Constants!$N$2,TEXT($H106,"dd/mm/yyyy")),"Update Constants"))))))),"")</f>
        <v/>
      </c>
      <c r="BC106" s="147" t="str">
        <f>_xlfn.IFNA(VALUE(INDEX(Producer!$K:$K,MATCH($D106,Producer!$A:$A,0))),"")</f>
        <v/>
      </c>
      <c r="BD106" s="147" t="str">
        <f>_xlfn.IFNA(INDEX(Producer!$I:$I,MATCH($D106,Producer!$A:$A,0)),"")</f>
        <v/>
      </c>
      <c r="BE106" s="147" t="str">
        <f t="shared" si="36"/>
        <v/>
      </c>
      <c r="BF106" s="147"/>
      <c r="BG106" s="147"/>
      <c r="BH106" s="151" t="str">
        <f>_xlfn.IFNA(INDEX(Constants!$B:$B,MATCH(BC106,Constants!A:A,0)),"")</f>
        <v/>
      </c>
      <c r="BI106" s="147" t="str">
        <f>IF(LEFT(B106,15)="Limited Company",Constants!$D$16,IFERROR(_xlfn.IFNA(IF(C106="Residential",IF(BK106&lt;75,INDEX(Constants!$B:$B,MATCH(VALUE(60)/100,Constants!$A:$A,0)),INDEX(Constants!$B:$B,MATCH(VALUE(BK106)/100,Constants!$A:$A,0))),IF(BK106&lt;60,INDEX(Constants!$C:$C,MATCH(VALUE(60)/100,Constants!$A:$A,0)),INDEX(Constants!$C:$C,MATCH(VALUE(BK106)/100,Constants!$A:$A,0)))),""),""))</f>
        <v/>
      </c>
      <c r="BJ106" s="147" t="str">
        <f t="shared" si="37"/>
        <v/>
      </c>
      <c r="BK106" s="147" t="str">
        <f>_xlfn.IFNA(VALUE(INDEX(Producer!$E:$E,MATCH($D106,Producer!$A:$A,0)))*100,"")</f>
        <v/>
      </c>
      <c r="BL106" s="146" t="str">
        <f>_xlfn.IFNA(IF(IFERROR(FIND("Part &amp; Part",B106),-10)&gt;0,"PP",IF(OR(LEFT(B106,25)="Residential Interest Only",INDEX(Producer!$P:$P,MATCH($D106,Producer!$A:$A,0))="IO",INDEX(Producer!$P:$P,MATCH($D106,Producer!$A:$A,0))="Retirement Interest Only"),"IO",IF($C106="BuyToLet","CI, IO","CI"))),"")</f>
        <v/>
      </c>
      <c r="BM106" s="152" t="str">
        <f>_xlfn.IFNA(IF(BL106="IO",100%,IF(AND(INDEX(Producer!$P:$P,MATCH($D106,Producer!$A:$A,0))="Residential Interest Only Part &amp; Part",BK106=75),80%,IF(C106="BuyToLet",100%,IF(BL106="Interest Only",100%,IF(AND(INDEX(Producer!$P:$P,MATCH($D106,Producer!$A:$A,0))="Residential Interest Only Part &amp; Part",BK106=60),100%,""))))),"")</f>
        <v/>
      </c>
      <c r="BN106" s="218" t="str">
        <f>_xlfn.IFNA(IF(VALUE(INDEX(Producer!$H:$H,MATCH($D106,Producer!$A:$A,0)))=0,"",VALUE(INDEX(Producer!$H:$H,MATCH($D106,Producer!$A:$A,0)))),"")</f>
        <v/>
      </c>
      <c r="BO106" s="153"/>
      <c r="BP106" s="153"/>
      <c r="BQ106" s="219" t="str">
        <f t="shared" si="38"/>
        <v/>
      </c>
      <c r="BR106" s="146"/>
      <c r="BS106" s="146"/>
      <c r="BT106" s="146"/>
      <c r="BU106" s="146"/>
      <c r="BV106" s="219" t="str">
        <f t="shared" si="39"/>
        <v/>
      </c>
      <c r="BW106" s="146"/>
      <c r="BX106" s="146"/>
      <c r="BY106" s="146" t="str">
        <f t="shared" si="40"/>
        <v/>
      </c>
      <c r="BZ106" s="146" t="str">
        <f t="shared" si="41"/>
        <v/>
      </c>
      <c r="CA106" s="146" t="str">
        <f t="shared" si="42"/>
        <v/>
      </c>
      <c r="CB106" s="146" t="str">
        <f t="shared" si="43"/>
        <v/>
      </c>
      <c r="CC106" s="146" t="str">
        <f>_xlfn.IFNA(IF(INDEX(Producer!$P:$P,MATCH($D106,Producer!$A:$A,0))="Help to Buy","Only available","No"),"")</f>
        <v/>
      </c>
      <c r="CD106" s="146" t="str">
        <f>_xlfn.IFNA(IF(INDEX(Producer!$P:$P,MATCH($D106,Producer!$A:$A,0))="Shared Ownership","Only available","No"),"")</f>
        <v/>
      </c>
      <c r="CE106" s="146" t="str">
        <f>_xlfn.IFNA(IF(INDEX(Producer!$P:$P,MATCH($D106,Producer!$A:$A,0))="Right to Buy","Only available","No"),"")</f>
        <v/>
      </c>
      <c r="CF106" s="146" t="str">
        <f t="shared" si="44"/>
        <v/>
      </c>
      <c r="CG106" s="146" t="str">
        <f>_xlfn.IFNA(IF(INDEX(Producer!$P:$P,MATCH($D106,Producer!$A:$A,0))="Retirement Interest Only","Only available","No"),"")</f>
        <v/>
      </c>
      <c r="CH106" s="146" t="str">
        <f t="shared" si="45"/>
        <v/>
      </c>
      <c r="CI106" s="146" t="str">
        <f>_xlfn.IFNA(IF(INDEX(Producer!$P:$P,MATCH($D106,Producer!$A:$A,0))="Intermediary Holiday Let","Only available","No"),"")</f>
        <v/>
      </c>
      <c r="CJ106" s="146" t="str">
        <f t="shared" si="46"/>
        <v/>
      </c>
      <c r="CK106" s="146" t="str">
        <f>_xlfn.IFNA(IF(OR(INDEX(Producer!$P:$P,MATCH($D106,Producer!$A:$A,0))="Intermediary Small HMO",INDEX(Producer!$P:$P,MATCH($D106,Producer!$A:$A,0))="Intermediary Large HMO"),"Only available","No"),"")</f>
        <v/>
      </c>
      <c r="CL106" s="146" t="str">
        <f t="shared" si="47"/>
        <v/>
      </c>
      <c r="CM106" s="146" t="str">
        <f t="shared" si="48"/>
        <v/>
      </c>
      <c r="CN106" s="146" t="str">
        <f t="shared" si="49"/>
        <v/>
      </c>
      <c r="CO106" s="146" t="str">
        <f t="shared" si="50"/>
        <v/>
      </c>
      <c r="CP106" s="146" t="str">
        <f t="shared" si="51"/>
        <v/>
      </c>
      <c r="CQ106" s="146" t="str">
        <f t="shared" si="52"/>
        <v/>
      </c>
      <c r="CR106" s="146" t="str">
        <f t="shared" si="53"/>
        <v/>
      </c>
      <c r="CS106" s="146" t="str">
        <f t="shared" si="54"/>
        <v/>
      </c>
      <c r="CT106" s="146" t="str">
        <f t="shared" si="55"/>
        <v/>
      </c>
      <c r="CU106" s="146"/>
    </row>
    <row r="107" spans="1:99" ht="16.399999999999999" customHeight="1" x14ac:dyDescent="0.35">
      <c r="A107" s="145" t="str">
        <f t="shared" si="28"/>
        <v/>
      </c>
      <c r="B107" s="145" t="str">
        <f>_xlfn.IFNA(_xlfn.CONCAT(INDEX(Producer!$P:$P,MATCH($D107,Producer!$A:$A,0))," ",IF(INDEX(Producer!$N:$N,MATCH($D107,Producer!$A:$A,0))="Yes","Green ",""),IF(AND(INDEX(Producer!$L:$L,MATCH($D107,Producer!$A:$A,0))="No",INDEX(Producer!$C:$C,MATCH($D107,Producer!$A:$A,0))="Fixed"),"Flexit ",""),INDEX(Producer!$B:$B,MATCH($D107,Producer!$A:$A,0))," Year ",INDEX(Producer!$C:$C,MATCH($D107,Producer!$A:$A,0))," ",VALUE(INDEX(Producer!$E:$E,MATCH($D107,Producer!$A:$A,0)))*100,"% LTV",IF(INDEX(Producer!$N:$N,MATCH($D107,Producer!$A:$A,0))="Yes"," (EPC A-C)","")," - ",IF(INDEX(Producer!$D:$D,MATCH($D107,Producer!$A:$A,0))="DLY","Daily","Annual")),"")</f>
        <v/>
      </c>
      <c r="C107" s="146" t="str">
        <f>_xlfn.IFNA(INDEX(Producer!$Q:$Q,MATCH($D107,Producer!$A:$A,0)),"")</f>
        <v/>
      </c>
      <c r="D107" s="146" t="str">
        <f>IFERROR(VALUE(MID(Producer!$R$2,IF($D106="",1/0,FIND(_xlfn.CONCAT($D105,$D106),Producer!$R$2)+10),5)),"")</f>
        <v/>
      </c>
      <c r="E107" s="146" t="str">
        <f t="shared" si="29"/>
        <v/>
      </c>
      <c r="F107" s="146"/>
      <c r="G107" s="147" t="str">
        <f>_xlfn.IFNA(VALUE(INDEX(Producer!$F:$F,MATCH($D107,Producer!$A:$A,0)))*100,"")</f>
        <v/>
      </c>
      <c r="H107" s="216" t="str">
        <f>_xlfn.IFNA(IFERROR(DATEVALUE(INDEX(Producer!$M:$M,MATCH($D107,Producer!$A:$A,0))),(INDEX(Producer!$M:$M,MATCH($D107,Producer!$A:$A,0)))),"")</f>
        <v/>
      </c>
      <c r="I107" s="217" t="str">
        <f>_xlfn.IFNA(VALUE(INDEX(Producer!$B:$B,MATCH($D107,Producer!$A:$A,0)))*12,"")</f>
        <v/>
      </c>
      <c r="J107" s="146" t="str">
        <f>_xlfn.IFNA(IF(C107="Residential",IF(VALUE(INDEX(Producer!$B:$B,MATCH($D107,Producer!$A:$A,0)))&lt;5,Constants!$C$10,""),IF(VALUE(INDEX(Producer!$B:$B,MATCH($D107,Producer!$A:$A,0)))&lt;5,Constants!$C$11,"")),"")</f>
        <v/>
      </c>
      <c r="K107" s="216" t="str">
        <f>_xlfn.IFNA(IF(($I107)&lt;60,DATE(YEAR(H107)+(5-VALUE(INDEX(Producer!$B:$B,MATCH($D107,Producer!$A:$A,0)))),MONTH(H107),DAY(H107)),""),"")</f>
        <v/>
      </c>
      <c r="L107" s="153" t="str">
        <f t="shared" si="30"/>
        <v/>
      </c>
      <c r="M107" s="146"/>
      <c r="N107" s="148"/>
      <c r="O107" s="148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 t="str">
        <f>IF(D107="","",IF(C107="Residential",Constants!$B$10,Constants!$B$11))</f>
        <v/>
      </c>
      <c r="AL107" s="146" t="str">
        <f t="shared" si="31"/>
        <v/>
      </c>
      <c r="AM107" s="206" t="str">
        <f t="shared" si="32"/>
        <v/>
      </c>
      <c r="AN107" s="146" t="str">
        <f t="shared" si="33"/>
        <v/>
      </c>
      <c r="AO107" s="149" t="str">
        <f t="shared" si="34"/>
        <v/>
      </c>
      <c r="AP107" s="150" t="str">
        <f t="shared" si="35"/>
        <v/>
      </c>
      <c r="AQ107" s="146" t="str">
        <f>IFERROR(_xlfn.IFNA(IF($BA107="No",0,IF(INDEX(Constants!B:B,MATCH(($I107/12),Constants!$A:$A,0))=0,0,INDEX(Constants!B:B,MATCH(($I107/12),Constants!$A:$A,0)))),0),"")</f>
        <v/>
      </c>
      <c r="AR107" s="146" t="str">
        <f>IFERROR(_xlfn.IFNA(IF($BA107="No",0,IF(INDEX(Constants!C:C,MATCH(($I107/12),Constants!$A:$A,0))=0,0,INDEX(Constants!C:C,MATCH(($I107/12),Constants!$A:$A,0)))),0),"")</f>
        <v/>
      </c>
      <c r="AS107" s="146" t="str">
        <f>IFERROR(_xlfn.IFNA(IF($BA107="No",0,IF(INDEX(Constants!D:D,MATCH(($I107/12),Constants!$A:$A,0))=0,0,INDEX(Constants!D:D,MATCH(($I107/12),Constants!$A:$A,0)))),0),"")</f>
        <v/>
      </c>
      <c r="AT107" s="146" t="str">
        <f>IFERROR(_xlfn.IFNA(IF($BA107="No",0,IF(INDEX(Constants!E:E,MATCH(($I107/12),Constants!$A:$A,0))=0,0,INDEX(Constants!E:E,MATCH(($I107/12),Constants!$A:$A,0)))),0),"")</f>
        <v/>
      </c>
      <c r="AU107" s="146" t="str">
        <f>IFERROR(_xlfn.IFNA(IF($BA107="No",0,IF(INDEX(Constants!F:F,MATCH(($I107/12),Constants!$A:$A,0))=0,0,INDEX(Constants!F:F,MATCH(($I107/12),Constants!$A:$A,0)))),0),"")</f>
        <v/>
      </c>
      <c r="AV107" s="146" t="str">
        <f>IFERROR(_xlfn.IFNA(IF($BA107="No",0,IF(INDEX(Constants!G:G,MATCH(($I107/12),Constants!$A:$A,0))=0,0,INDEX(Constants!G:G,MATCH(($I107/12),Constants!$A:$A,0)))),0),"")</f>
        <v/>
      </c>
      <c r="AW107" s="146" t="str">
        <f>IFERROR(_xlfn.IFNA(IF($BA107="No",0,IF(INDEX(Constants!H:H,MATCH(($I107/12),Constants!$A:$A,0))=0,0,INDEX(Constants!H:H,MATCH(($I107/12),Constants!$A:$A,0)))),0),"")</f>
        <v/>
      </c>
      <c r="AX107" s="146" t="str">
        <f>IFERROR(_xlfn.IFNA(IF($BA107="No",0,IF(INDEX(Constants!I:I,MATCH(($I107/12),Constants!$A:$A,0))=0,0,INDEX(Constants!I:I,MATCH(($I107/12),Constants!$A:$A,0)))),0),"")</f>
        <v/>
      </c>
      <c r="AY107" s="146" t="str">
        <f>IFERROR(_xlfn.IFNA(IF($BA107="No",0,IF(INDEX(Constants!J:J,MATCH(($I107/12),Constants!$A:$A,0))=0,0,INDEX(Constants!J:J,MATCH(($I107/12),Constants!$A:$A,0)))),0),"")</f>
        <v/>
      </c>
      <c r="AZ107" s="146" t="str">
        <f>IFERROR(_xlfn.IFNA(IF($BA107="No",0,IF(INDEX(Constants!K:K,MATCH(($I107/12),Constants!$A:$A,0))=0,0,INDEX(Constants!K:K,MATCH(($I107/12),Constants!$A:$A,0)))),0),"")</f>
        <v/>
      </c>
      <c r="BA107" s="147" t="str">
        <f>_xlfn.IFNA(INDEX(Producer!$L:$L,MATCH($D107,Producer!$A:$A,0)),"")</f>
        <v/>
      </c>
      <c r="BB107" s="146" t="str">
        <f>IFERROR(IF(AQ107=0,"",IF(($I107/12)=15,_xlfn.CONCAT(Constants!$N$7,TEXT(DATE(YEAR(H107)-(($I107/12)-3),MONTH(H107),DAY(H107)),"dd/mm/yyyy"),", ",Constants!$P$7,TEXT(DATE(YEAR(H107)-(($I107/12)-8),MONTH(H107),DAY(H107)),"dd/mm/yyyy"),", ",Constants!$T$7,TEXT(DATE(YEAR(H107)-(($I107/12)-11),MONTH(H107),DAY(H107)),"dd/mm/yyyy"),", ",Constants!$V$7,TEXT(DATE(YEAR(H107)-(($I107/12)-13),MONTH(H107),DAY(H107)),"dd/mm/yyyy"),", ",Constants!$W$7,TEXT($H107,"dd/mm/yyyy")),IF(($I107/12)=10,_xlfn.CONCAT(Constants!$N$6,TEXT(DATE(YEAR(H107)-(($I107/12)-2),MONTH(H107),DAY(H107)),"dd/mm/yyyy"),", ",Constants!$P$6,TEXT(DATE(YEAR(H107)-(($I107/12)-6),MONTH(H107),DAY(H107)),"dd/mm/yyyy"),", ",Constants!$T$6,TEXT(DATE(YEAR(H107)-(($I107/12)-8),MONTH(H107),DAY(H107)),"dd/mm/yyyy"),", ",Constants!$V$6,TEXT(DATE(YEAR(H107)-(($I107/12)-9),MONTH(H107),DAY(H107)),"dd/mm/yyyy"),", ",Constants!$W$6,TEXT($H107,"dd/mm/yyyy")),IF(($I107/12)=5,_xlfn.CONCAT(Constants!$N$5,TEXT(DATE(YEAR(H107)-(($I107/12)-1),MONTH(H107),DAY(H107)),"dd/mm/yyyy"),", ",Constants!$O$5,TEXT(DATE(YEAR(H107)-(($I107/12)-2),MONTH(H107),DAY(H107)),"dd/mm/yyyy"),", ",Constants!$P$5,TEXT(DATE(YEAR(H107)-(($I107/12)-3),MONTH(H107),DAY(H107)),"dd/mm/yyyy"),", ",Constants!$Q$5,TEXT(DATE(YEAR(H107)-(($I107/12)-4),MONTH(H107),DAY(H107)),"dd/mm/yyyy"),", ",Constants!$R$5,TEXT($H107,"dd/mm/yyyy")),IF(($I107/12)=3,_xlfn.CONCAT(Constants!$N$4,TEXT(DATE(YEAR(H107)-(($I107/12)-1),MONTH(H107),DAY(H107)),"dd/mm/yyyy"),", ",Constants!$O$4,TEXT(DATE(YEAR(H107)-(($I107/12)-2),MONTH(H107),DAY(H107)),"dd/mm/yyyy"),", ",Constants!$P$4,TEXT($H107,"dd/mm/yyyy")),IF(($I107/12)=2,_xlfn.CONCAT(Constants!$N$3,TEXT(DATE(YEAR(H107)-(($I107/12)-1),MONTH(H107),DAY(H107)),"dd/mm/yyyy"),", ",Constants!$O$3,TEXT($H107,"dd/mm/yyyy")),IF(($I107/12)=1,_xlfn.CONCAT(Constants!$N$2,TEXT($H107,"dd/mm/yyyy")),"Update Constants"))))))),"")</f>
        <v/>
      </c>
      <c r="BC107" s="147" t="str">
        <f>_xlfn.IFNA(VALUE(INDEX(Producer!$K:$K,MATCH($D107,Producer!$A:$A,0))),"")</f>
        <v/>
      </c>
      <c r="BD107" s="147" t="str">
        <f>_xlfn.IFNA(INDEX(Producer!$I:$I,MATCH($D107,Producer!$A:$A,0)),"")</f>
        <v/>
      </c>
      <c r="BE107" s="147" t="str">
        <f t="shared" si="36"/>
        <v/>
      </c>
      <c r="BF107" s="147"/>
      <c r="BG107" s="147"/>
      <c r="BH107" s="151" t="str">
        <f>_xlfn.IFNA(INDEX(Constants!$B:$B,MATCH(BC107,Constants!A:A,0)),"")</f>
        <v/>
      </c>
      <c r="BI107" s="147" t="str">
        <f>IF(LEFT(B107,15)="Limited Company",Constants!$D$16,IFERROR(_xlfn.IFNA(IF(C107="Residential",IF(BK107&lt;75,INDEX(Constants!$B:$B,MATCH(VALUE(60)/100,Constants!$A:$A,0)),INDEX(Constants!$B:$B,MATCH(VALUE(BK107)/100,Constants!$A:$A,0))),IF(BK107&lt;60,INDEX(Constants!$C:$C,MATCH(VALUE(60)/100,Constants!$A:$A,0)),INDEX(Constants!$C:$C,MATCH(VALUE(BK107)/100,Constants!$A:$A,0)))),""),""))</f>
        <v/>
      </c>
      <c r="BJ107" s="147" t="str">
        <f t="shared" si="37"/>
        <v/>
      </c>
      <c r="BK107" s="147" t="str">
        <f>_xlfn.IFNA(VALUE(INDEX(Producer!$E:$E,MATCH($D107,Producer!$A:$A,0)))*100,"")</f>
        <v/>
      </c>
      <c r="BL107" s="146" t="str">
        <f>_xlfn.IFNA(IF(IFERROR(FIND("Part &amp; Part",B107),-10)&gt;0,"PP",IF(OR(LEFT(B107,25)="Residential Interest Only",INDEX(Producer!$P:$P,MATCH($D107,Producer!$A:$A,0))="IO",INDEX(Producer!$P:$P,MATCH($D107,Producer!$A:$A,0))="Retirement Interest Only"),"IO",IF($C107="BuyToLet","CI, IO","CI"))),"")</f>
        <v/>
      </c>
      <c r="BM107" s="152" t="str">
        <f>_xlfn.IFNA(IF(BL107="IO",100%,IF(AND(INDEX(Producer!$P:$P,MATCH($D107,Producer!$A:$A,0))="Residential Interest Only Part &amp; Part",BK107=75),80%,IF(C107="BuyToLet",100%,IF(BL107="Interest Only",100%,IF(AND(INDEX(Producer!$P:$P,MATCH($D107,Producer!$A:$A,0))="Residential Interest Only Part &amp; Part",BK107=60),100%,""))))),"")</f>
        <v/>
      </c>
      <c r="BN107" s="218" t="str">
        <f>_xlfn.IFNA(IF(VALUE(INDEX(Producer!$H:$H,MATCH($D107,Producer!$A:$A,0)))=0,"",VALUE(INDEX(Producer!$H:$H,MATCH($D107,Producer!$A:$A,0)))),"")</f>
        <v/>
      </c>
      <c r="BO107" s="153"/>
      <c r="BP107" s="153"/>
      <c r="BQ107" s="219" t="str">
        <f t="shared" si="38"/>
        <v/>
      </c>
      <c r="BR107" s="146"/>
      <c r="BS107" s="146"/>
      <c r="BT107" s="146"/>
      <c r="BU107" s="146"/>
      <c r="BV107" s="219" t="str">
        <f t="shared" si="39"/>
        <v/>
      </c>
      <c r="BW107" s="146"/>
      <c r="BX107" s="146"/>
      <c r="BY107" s="146" t="str">
        <f t="shared" si="40"/>
        <v/>
      </c>
      <c r="BZ107" s="146" t="str">
        <f t="shared" si="41"/>
        <v/>
      </c>
      <c r="CA107" s="146" t="str">
        <f t="shared" si="42"/>
        <v/>
      </c>
      <c r="CB107" s="146" t="str">
        <f t="shared" si="43"/>
        <v/>
      </c>
      <c r="CC107" s="146" t="str">
        <f>_xlfn.IFNA(IF(INDEX(Producer!$P:$P,MATCH($D107,Producer!$A:$A,0))="Help to Buy","Only available","No"),"")</f>
        <v/>
      </c>
      <c r="CD107" s="146" t="str">
        <f>_xlfn.IFNA(IF(INDEX(Producer!$P:$P,MATCH($D107,Producer!$A:$A,0))="Shared Ownership","Only available","No"),"")</f>
        <v/>
      </c>
      <c r="CE107" s="146" t="str">
        <f>_xlfn.IFNA(IF(INDEX(Producer!$P:$P,MATCH($D107,Producer!$A:$A,0))="Right to Buy","Only available","No"),"")</f>
        <v/>
      </c>
      <c r="CF107" s="146" t="str">
        <f t="shared" si="44"/>
        <v/>
      </c>
      <c r="CG107" s="146" t="str">
        <f>_xlfn.IFNA(IF(INDEX(Producer!$P:$P,MATCH($D107,Producer!$A:$A,0))="Retirement Interest Only","Only available","No"),"")</f>
        <v/>
      </c>
      <c r="CH107" s="146" t="str">
        <f t="shared" si="45"/>
        <v/>
      </c>
      <c r="CI107" s="146" t="str">
        <f>_xlfn.IFNA(IF(INDEX(Producer!$P:$P,MATCH($D107,Producer!$A:$A,0))="Intermediary Holiday Let","Only available","No"),"")</f>
        <v/>
      </c>
      <c r="CJ107" s="146" t="str">
        <f t="shared" si="46"/>
        <v/>
      </c>
      <c r="CK107" s="146" t="str">
        <f>_xlfn.IFNA(IF(OR(INDEX(Producer!$P:$P,MATCH($D107,Producer!$A:$A,0))="Intermediary Small HMO",INDEX(Producer!$P:$P,MATCH($D107,Producer!$A:$A,0))="Intermediary Large HMO"),"Only available","No"),"")</f>
        <v/>
      </c>
      <c r="CL107" s="146" t="str">
        <f t="shared" si="47"/>
        <v/>
      </c>
      <c r="CM107" s="146" t="str">
        <f t="shared" si="48"/>
        <v/>
      </c>
      <c r="CN107" s="146" t="str">
        <f t="shared" si="49"/>
        <v/>
      </c>
      <c r="CO107" s="146" t="str">
        <f t="shared" si="50"/>
        <v/>
      </c>
      <c r="CP107" s="146" t="str">
        <f t="shared" si="51"/>
        <v/>
      </c>
      <c r="CQ107" s="146" t="str">
        <f t="shared" si="52"/>
        <v/>
      </c>
      <c r="CR107" s="146" t="str">
        <f t="shared" si="53"/>
        <v/>
      </c>
      <c r="CS107" s="146" t="str">
        <f t="shared" si="54"/>
        <v/>
      </c>
      <c r="CT107" s="146" t="str">
        <f t="shared" si="55"/>
        <v/>
      </c>
      <c r="CU107" s="146"/>
    </row>
    <row r="108" spans="1:99" ht="16.399999999999999" customHeight="1" x14ac:dyDescent="0.35">
      <c r="A108" s="145" t="str">
        <f t="shared" si="28"/>
        <v/>
      </c>
      <c r="B108" s="145" t="str">
        <f>_xlfn.IFNA(_xlfn.CONCAT(INDEX(Producer!$P:$P,MATCH($D108,Producer!$A:$A,0))," ",IF(INDEX(Producer!$N:$N,MATCH($D108,Producer!$A:$A,0))="Yes","Green ",""),IF(AND(INDEX(Producer!$L:$L,MATCH($D108,Producer!$A:$A,0))="No",INDEX(Producer!$C:$C,MATCH($D108,Producer!$A:$A,0))="Fixed"),"Flexit ",""),INDEX(Producer!$B:$B,MATCH($D108,Producer!$A:$A,0))," Year ",INDEX(Producer!$C:$C,MATCH($D108,Producer!$A:$A,0))," ",VALUE(INDEX(Producer!$E:$E,MATCH($D108,Producer!$A:$A,0)))*100,"% LTV",IF(INDEX(Producer!$N:$N,MATCH($D108,Producer!$A:$A,0))="Yes"," (EPC A-C)","")," - ",IF(INDEX(Producer!$D:$D,MATCH($D108,Producer!$A:$A,0))="DLY","Daily","Annual")),"")</f>
        <v/>
      </c>
      <c r="C108" s="146" t="str">
        <f>_xlfn.IFNA(INDEX(Producer!$Q:$Q,MATCH($D108,Producer!$A:$A,0)),"")</f>
        <v/>
      </c>
      <c r="D108" s="146" t="str">
        <f>IFERROR(VALUE(MID(Producer!$R$2,IF($D107="",1/0,FIND(_xlfn.CONCAT($D106,$D107),Producer!$R$2)+10),5)),"")</f>
        <v/>
      </c>
      <c r="E108" s="146" t="str">
        <f t="shared" si="29"/>
        <v/>
      </c>
      <c r="F108" s="146"/>
      <c r="G108" s="147" t="str">
        <f>_xlfn.IFNA(VALUE(INDEX(Producer!$F:$F,MATCH($D108,Producer!$A:$A,0)))*100,"")</f>
        <v/>
      </c>
      <c r="H108" s="216" t="str">
        <f>_xlfn.IFNA(IFERROR(DATEVALUE(INDEX(Producer!$M:$M,MATCH($D108,Producer!$A:$A,0))),(INDEX(Producer!$M:$M,MATCH($D108,Producer!$A:$A,0)))),"")</f>
        <v/>
      </c>
      <c r="I108" s="217" t="str">
        <f>_xlfn.IFNA(VALUE(INDEX(Producer!$B:$B,MATCH($D108,Producer!$A:$A,0)))*12,"")</f>
        <v/>
      </c>
      <c r="J108" s="146" t="str">
        <f>_xlfn.IFNA(IF(C108="Residential",IF(VALUE(INDEX(Producer!$B:$B,MATCH($D108,Producer!$A:$A,0)))&lt;5,Constants!$C$10,""),IF(VALUE(INDEX(Producer!$B:$B,MATCH($D108,Producer!$A:$A,0)))&lt;5,Constants!$C$11,"")),"")</f>
        <v/>
      </c>
      <c r="K108" s="216" t="str">
        <f>_xlfn.IFNA(IF(($I108)&lt;60,DATE(YEAR(H108)+(5-VALUE(INDEX(Producer!$B:$B,MATCH($D108,Producer!$A:$A,0)))),MONTH(H108),DAY(H108)),""),"")</f>
        <v/>
      </c>
      <c r="L108" s="153" t="str">
        <f t="shared" si="30"/>
        <v/>
      </c>
      <c r="M108" s="146"/>
      <c r="N108" s="148"/>
      <c r="O108" s="148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 t="str">
        <f>IF(D108="","",IF(C108="Residential",Constants!$B$10,Constants!$B$11))</f>
        <v/>
      </c>
      <c r="AL108" s="146" t="str">
        <f t="shared" si="31"/>
        <v/>
      </c>
      <c r="AM108" s="206" t="str">
        <f t="shared" si="32"/>
        <v/>
      </c>
      <c r="AN108" s="146" t="str">
        <f t="shared" si="33"/>
        <v/>
      </c>
      <c r="AO108" s="149" t="str">
        <f t="shared" si="34"/>
        <v/>
      </c>
      <c r="AP108" s="150" t="str">
        <f t="shared" si="35"/>
        <v/>
      </c>
      <c r="AQ108" s="146" t="str">
        <f>IFERROR(_xlfn.IFNA(IF($BA108="No",0,IF(INDEX(Constants!B:B,MATCH(($I108/12),Constants!$A:$A,0))=0,0,INDEX(Constants!B:B,MATCH(($I108/12),Constants!$A:$A,0)))),0),"")</f>
        <v/>
      </c>
      <c r="AR108" s="146" t="str">
        <f>IFERROR(_xlfn.IFNA(IF($BA108="No",0,IF(INDEX(Constants!C:C,MATCH(($I108/12),Constants!$A:$A,0))=0,0,INDEX(Constants!C:C,MATCH(($I108/12),Constants!$A:$A,0)))),0),"")</f>
        <v/>
      </c>
      <c r="AS108" s="146" t="str">
        <f>IFERROR(_xlfn.IFNA(IF($BA108="No",0,IF(INDEX(Constants!D:D,MATCH(($I108/12),Constants!$A:$A,0))=0,0,INDEX(Constants!D:D,MATCH(($I108/12),Constants!$A:$A,0)))),0),"")</f>
        <v/>
      </c>
      <c r="AT108" s="146" t="str">
        <f>IFERROR(_xlfn.IFNA(IF($BA108="No",0,IF(INDEX(Constants!E:E,MATCH(($I108/12),Constants!$A:$A,0))=0,0,INDEX(Constants!E:E,MATCH(($I108/12),Constants!$A:$A,0)))),0),"")</f>
        <v/>
      </c>
      <c r="AU108" s="146" t="str">
        <f>IFERROR(_xlfn.IFNA(IF($BA108="No",0,IF(INDEX(Constants!F:F,MATCH(($I108/12),Constants!$A:$A,0))=0,0,INDEX(Constants!F:F,MATCH(($I108/12),Constants!$A:$A,0)))),0),"")</f>
        <v/>
      </c>
      <c r="AV108" s="146" t="str">
        <f>IFERROR(_xlfn.IFNA(IF($BA108="No",0,IF(INDEX(Constants!G:G,MATCH(($I108/12),Constants!$A:$A,0))=0,0,INDEX(Constants!G:G,MATCH(($I108/12),Constants!$A:$A,0)))),0),"")</f>
        <v/>
      </c>
      <c r="AW108" s="146" t="str">
        <f>IFERROR(_xlfn.IFNA(IF($BA108="No",0,IF(INDEX(Constants!H:H,MATCH(($I108/12),Constants!$A:$A,0))=0,0,INDEX(Constants!H:H,MATCH(($I108/12),Constants!$A:$A,0)))),0),"")</f>
        <v/>
      </c>
      <c r="AX108" s="146" t="str">
        <f>IFERROR(_xlfn.IFNA(IF($BA108="No",0,IF(INDEX(Constants!I:I,MATCH(($I108/12),Constants!$A:$A,0))=0,0,INDEX(Constants!I:I,MATCH(($I108/12),Constants!$A:$A,0)))),0),"")</f>
        <v/>
      </c>
      <c r="AY108" s="146" t="str">
        <f>IFERROR(_xlfn.IFNA(IF($BA108="No",0,IF(INDEX(Constants!J:J,MATCH(($I108/12),Constants!$A:$A,0))=0,0,INDEX(Constants!J:J,MATCH(($I108/12),Constants!$A:$A,0)))),0),"")</f>
        <v/>
      </c>
      <c r="AZ108" s="146" t="str">
        <f>IFERROR(_xlfn.IFNA(IF($BA108="No",0,IF(INDEX(Constants!K:K,MATCH(($I108/12),Constants!$A:$A,0))=0,0,INDEX(Constants!K:K,MATCH(($I108/12),Constants!$A:$A,0)))),0),"")</f>
        <v/>
      </c>
      <c r="BA108" s="147" t="str">
        <f>_xlfn.IFNA(INDEX(Producer!$L:$L,MATCH($D108,Producer!$A:$A,0)),"")</f>
        <v/>
      </c>
      <c r="BB108" s="146" t="str">
        <f>IFERROR(IF(AQ108=0,"",IF(($I108/12)=15,_xlfn.CONCAT(Constants!$N$7,TEXT(DATE(YEAR(H108)-(($I108/12)-3),MONTH(H108),DAY(H108)),"dd/mm/yyyy"),", ",Constants!$P$7,TEXT(DATE(YEAR(H108)-(($I108/12)-8),MONTH(H108),DAY(H108)),"dd/mm/yyyy"),", ",Constants!$T$7,TEXT(DATE(YEAR(H108)-(($I108/12)-11),MONTH(H108),DAY(H108)),"dd/mm/yyyy"),", ",Constants!$V$7,TEXT(DATE(YEAR(H108)-(($I108/12)-13),MONTH(H108),DAY(H108)),"dd/mm/yyyy"),", ",Constants!$W$7,TEXT($H108,"dd/mm/yyyy")),IF(($I108/12)=10,_xlfn.CONCAT(Constants!$N$6,TEXT(DATE(YEAR(H108)-(($I108/12)-2),MONTH(H108),DAY(H108)),"dd/mm/yyyy"),", ",Constants!$P$6,TEXT(DATE(YEAR(H108)-(($I108/12)-6),MONTH(H108),DAY(H108)),"dd/mm/yyyy"),", ",Constants!$T$6,TEXT(DATE(YEAR(H108)-(($I108/12)-8),MONTH(H108),DAY(H108)),"dd/mm/yyyy"),", ",Constants!$V$6,TEXT(DATE(YEAR(H108)-(($I108/12)-9),MONTH(H108),DAY(H108)),"dd/mm/yyyy"),", ",Constants!$W$6,TEXT($H108,"dd/mm/yyyy")),IF(($I108/12)=5,_xlfn.CONCAT(Constants!$N$5,TEXT(DATE(YEAR(H108)-(($I108/12)-1),MONTH(H108),DAY(H108)),"dd/mm/yyyy"),", ",Constants!$O$5,TEXT(DATE(YEAR(H108)-(($I108/12)-2),MONTH(H108),DAY(H108)),"dd/mm/yyyy"),", ",Constants!$P$5,TEXT(DATE(YEAR(H108)-(($I108/12)-3),MONTH(H108),DAY(H108)),"dd/mm/yyyy"),", ",Constants!$Q$5,TEXT(DATE(YEAR(H108)-(($I108/12)-4),MONTH(H108),DAY(H108)),"dd/mm/yyyy"),", ",Constants!$R$5,TEXT($H108,"dd/mm/yyyy")),IF(($I108/12)=3,_xlfn.CONCAT(Constants!$N$4,TEXT(DATE(YEAR(H108)-(($I108/12)-1),MONTH(H108),DAY(H108)),"dd/mm/yyyy"),", ",Constants!$O$4,TEXT(DATE(YEAR(H108)-(($I108/12)-2),MONTH(H108),DAY(H108)),"dd/mm/yyyy"),", ",Constants!$P$4,TEXT($H108,"dd/mm/yyyy")),IF(($I108/12)=2,_xlfn.CONCAT(Constants!$N$3,TEXT(DATE(YEAR(H108)-(($I108/12)-1),MONTH(H108),DAY(H108)),"dd/mm/yyyy"),", ",Constants!$O$3,TEXT($H108,"dd/mm/yyyy")),IF(($I108/12)=1,_xlfn.CONCAT(Constants!$N$2,TEXT($H108,"dd/mm/yyyy")),"Update Constants"))))))),"")</f>
        <v/>
      </c>
      <c r="BC108" s="147" t="str">
        <f>_xlfn.IFNA(VALUE(INDEX(Producer!$K:$K,MATCH($D108,Producer!$A:$A,0))),"")</f>
        <v/>
      </c>
      <c r="BD108" s="147" t="str">
        <f>_xlfn.IFNA(INDEX(Producer!$I:$I,MATCH($D108,Producer!$A:$A,0)),"")</f>
        <v/>
      </c>
      <c r="BE108" s="147" t="str">
        <f t="shared" si="36"/>
        <v/>
      </c>
      <c r="BF108" s="147"/>
      <c r="BG108" s="147"/>
      <c r="BH108" s="151" t="str">
        <f>_xlfn.IFNA(INDEX(Constants!$B:$B,MATCH(BC108,Constants!A:A,0)),"")</f>
        <v/>
      </c>
      <c r="BI108" s="147" t="str">
        <f>IF(LEFT(B108,15)="Limited Company",Constants!$D$16,IFERROR(_xlfn.IFNA(IF(C108="Residential",IF(BK108&lt;75,INDEX(Constants!$B:$B,MATCH(VALUE(60)/100,Constants!$A:$A,0)),INDEX(Constants!$B:$B,MATCH(VALUE(BK108)/100,Constants!$A:$A,0))),IF(BK108&lt;60,INDEX(Constants!$C:$C,MATCH(VALUE(60)/100,Constants!$A:$A,0)),INDEX(Constants!$C:$C,MATCH(VALUE(BK108)/100,Constants!$A:$A,0)))),""),""))</f>
        <v/>
      </c>
      <c r="BJ108" s="147" t="str">
        <f t="shared" si="37"/>
        <v/>
      </c>
      <c r="BK108" s="147" t="str">
        <f>_xlfn.IFNA(VALUE(INDEX(Producer!$E:$E,MATCH($D108,Producer!$A:$A,0)))*100,"")</f>
        <v/>
      </c>
      <c r="BL108" s="146" t="str">
        <f>_xlfn.IFNA(IF(IFERROR(FIND("Part &amp; Part",B108),-10)&gt;0,"PP",IF(OR(LEFT(B108,25)="Residential Interest Only",INDEX(Producer!$P:$P,MATCH($D108,Producer!$A:$A,0))="IO",INDEX(Producer!$P:$P,MATCH($D108,Producer!$A:$A,0))="Retirement Interest Only"),"IO",IF($C108="BuyToLet","CI, IO","CI"))),"")</f>
        <v/>
      </c>
      <c r="BM108" s="152" t="str">
        <f>_xlfn.IFNA(IF(BL108="IO",100%,IF(AND(INDEX(Producer!$P:$P,MATCH($D108,Producer!$A:$A,0))="Residential Interest Only Part &amp; Part",BK108=75),80%,IF(C108="BuyToLet",100%,IF(BL108="Interest Only",100%,IF(AND(INDEX(Producer!$P:$P,MATCH($D108,Producer!$A:$A,0))="Residential Interest Only Part &amp; Part",BK108=60),100%,""))))),"")</f>
        <v/>
      </c>
      <c r="BN108" s="218" t="str">
        <f>_xlfn.IFNA(IF(VALUE(INDEX(Producer!$H:$H,MATCH($D108,Producer!$A:$A,0)))=0,"",VALUE(INDEX(Producer!$H:$H,MATCH($D108,Producer!$A:$A,0)))),"")</f>
        <v/>
      </c>
      <c r="BO108" s="153"/>
      <c r="BP108" s="153"/>
      <c r="BQ108" s="219" t="str">
        <f t="shared" si="38"/>
        <v/>
      </c>
      <c r="BR108" s="146"/>
      <c r="BS108" s="146"/>
      <c r="BT108" s="146"/>
      <c r="BU108" s="146"/>
      <c r="BV108" s="219" t="str">
        <f t="shared" si="39"/>
        <v/>
      </c>
      <c r="BW108" s="146"/>
      <c r="BX108" s="146"/>
      <c r="BY108" s="146" t="str">
        <f t="shared" si="40"/>
        <v/>
      </c>
      <c r="BZ108" s="146" t="str">
        <f t="shared" si="41"/>
        <v/>
      </c>
      <c r="CA108" s="146" t="str">
        <f t="shared" si="42"/>
        <v/>
      </c>
      <c r="CB108" s="146" t="str">
        <f t="shared" si="43"/>
        <v/>
      </c>
      <c r="CC108" s="146" t="str">
        <f>_xlfn.IFNA(IF(INDEX(Producer!$P:$P,MATCH($D108,Producer!$A:$A,0))="Help to Buy","Only available","No"),"")</f>
        <v/>
      </c>
      <c r="CD108" s="146" t="str">
        <f>_xlfn.IFNA(IF(INDEX(Producer!$P:$P,MATCH($D108,Producer!$A:$A,0))="Shared Ownership","Only available","No"),"")</f>
        <v/>
      </c>
      <c r="CE108" s="146" t="str">
        <f>_xlfn.IFNA(IF(INDEX(Producer!$P:$P,MATCH($D108,Producer!$A:$A,0))="Right to Buy","Only available","No"),"")</f>
        <v/>
      </c>
      <c r="CF108" s="146" t="str">
        <f t="shared" si="44"/>
        <v/>
      </c>
      <c r="CG108" s="146" t="str">
        <f>_xlfn.IFNA(IF(INDEX(Producer!$P:$P,MATCH($D108,Producer!$A:$A,0))="Retirement Interest Only","Only available","No"),"")</f>
        <v/>
      </c>
      <c r="CH108" s="146" t="str">
        <f t="shared" si="45"/>
        <v/>
      </c>
      <c r="CI108" s="146" t="str">
        <f>_xlfn.IFNA(IF(INDEX(Producer!$P:$P,MATCH($D108,Producer!$A:$A,0))="Intermediary Holiday Let","Only available","No"),"")</f>
        <v/>
      </c>
      <c r="CJ108" s="146" t="str">
        <f t="shared" si="46"/>
        <v/>
      </c>
      <c r="CK108" s="146" t="str">
        <f>_xlfn.IFNA(IF(OR(INDEX(Producer!$P:$P,MATCH($D108,Producer!$A:$A,0))="Intermediary Small HMO",INDEX(Producer!$P:$P,MATCH($D108,Producer!$A:$A,0))="Intermediary Large HMO"),"Only available","No"),"")</f>
        <v/>
      </c>
      <c r="CL108" s="146" t="str">
        <f t="shared" si="47"/>
        <v/>
      </c>
      <c r="CM108" s="146" t="str">
        <f t="shared" si="48"/>
        <v/>
      </c>
      <c r="CN108" s="146" t="str">
        <f t="shared" si="49"/>
        <v/>
      </c>
      <c r="CO108" s="146" t="str">
        <f t="shared" si="50"/>
        <v/>
      </c>
      <c r="CP108" s="146" t="str">
        <f t="shared" si="51"/>
        <v/>
      </c>
      <c r="CQ108" s="146" t="str">
        <f t="shared" si="52"/>
        <v/>
      </c>
      <c r="CR108" s="146" t="str">
        <f t="shared" si="53"/>
        <v/>
      </c>
      <c r="CS108" s="146" t="str">
        <f t="shared" si="54"/>
        <v/>
      </c>
      <c r="CT108" s="146" t="str">
        <f t="shared" si="55"/>
        <v/>
      </c>
      <c r="CU108" s="146"/>
    </row>
    <row r="109" spans="1:99" ht="16.399999999999999" customHeight="1" x14ac:dyDescent="0.35">
      <c r="A109" s="145" t="str">
        <f t="shared" si="28"/>
        <v/>
      </c>
      <c r="B109" s="145" t="str">
        <f>_xlfn.IFNA(_xlfn.CONCAT(INDEX(Producer!$P:$P,MATCH($D109,Producer!$A:$A,0))," ",IF(INDEX(Producer!$N:$N,MATCH($D109,Producer!$A:$A,0))="Yes","Green ",""),IF(AND(INDEX(Producer!$L:$L,MATCH($D109,Producer!$A:$A,0))="No",INDEX(Producer!$C:$C,MATCH($D109,Producer!$A:$A,0))="Fixed"),"Flexit ",""),INDEX(Producer!$B:$B,MATCH($D109,Producer!$A:$A,0))," Year ",INDEX(Producer!$C:$C,MATCH($D109,Producer!$A:$A,0))," ",VALUE(INDEX(Producer!$E:$E,MATCH($D109,Producer!$A:$A,0)))*100,"% LTV",IF(INDEX(Producer!$N:$N,MATCH($D109,Producer!$A:$A,0))="Yes"," (EPC A-C)","")," - ",IF(INDEX(Producer!$D:$D,MATCH($D109,Producer!$A:$A,0))="DLY","Daily","Annual")),"")</f>
        <v/>
      </c>
      <c r="C109" s="146" t="str">
        <f>_xlfn.IFNA(INDEX(Producer!$Q:$Q,MATCH($D109,Producer!$A:$A,0)),"")</f>
        <v/>
      </c>
      <c r="D109" s="146" t="str">
        <f>IFERROR(VALUE(MID(Producer!$R$2,IF($D108="",1/0,FIND(_xlfn.CONCAT($D107,$D108),Producer!$R$2)+10),5)),"")</f>
        <v/>
      </c>
      <c r="E109" s="146" t="str">
        <f t="shared" si="29"/>
        <v/>
      </c>
      <c r="F109" s="146"/>
      <c r="G109" s="147" t="str">
        <f>_xlfn.IFNA(VALUE(INDEX(Producer!$F:$F,MATCH($D109,Producer!$A:$A,0)))*100,"")</f>
        <v/>
      </c>
      <c r="H109" s="216" t="str">
        <f>_xlfn.IFNA(IFERROR(DATEVALUE(INDEX(Producer!$M:$M,MATCH($D109,Producer!$A:$A,0))),(INDEX(Producer!$M:$M,MATCH($D109,Producer!$A:$A,0)))),"")</f>
        <v/>
      </c>
      <c r="I109" s="217" t="str">
        <f>_xlfn.IFNA(VALUE(INDEX(Producer!$B:$B,MATCH($D109,Producer!$A:$A,0)))*12,"")</f>
        <v/>
      </c>
      <c r="J109" s="146" t="str">
        <f>_xlfn.IFNA(IF(C109="Residential",IF(VALUE(INDEX(Producer!$B:$B,MATCH($D109,Producer!$A:$A,0)))&lt;5,Constants!$C$10,""),IF(VALUE(INDEX(Producer!$B:$B,MATCH($D109,Producer!$A:$A,0)))&lt;5,Constants!$C$11,"")),"")</f>
        <v/>
      </c>
      <c r="K109" s="216" t="str">
        <f>_xlfn.IFNA(IF(($I109)&lt;60,DATE(YEAR(H109)+(5-VALUE(INDEX(Producer!$B:$B,MATCH($D109,Producer!$A:$A,0)))),MONTH(H109),DAY(H109)),""),"")</f>
        <v/>
      </c>
      <c r="L109" s="153" t="str">
        <f t="shared" si="30"/>
        <v/>
      </c>
      <c r="M109" s="146"/>
      <c r="N109" s="148"/>
      <c r="O109" s="148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 t="str">
        <f>IF(D109="","",IF(C109="Residential",Constants!$B$10,Constants!$B$11))</f>
        <v/>
      </c>
      <c r="AL109" s="146" t="str">
        <f t="shared" si="31"/>
        <v/>
      </c>
      <c r="AM109" s="206" t="str">
        <f t="shared" si="32"/>
        <v/>
      </c>
      <c r="AN109" s="146" t="str">
        <f t="shared" si="33"/>
        <v/>
      </c>
      <c r="AO109" s="149" t="str">
        <f t="shared" si="34"/>
        <v/>
      </c>
      <c r="AP109" s="150" t="str">
        <f t="shared" si="35"/>
        <v/>
      </c>
      <c r="AQ109" s="146" t="str">
        <f>IFERROR(_xlfn.IFNA(IF($BA109="No",0,IF(INDEX(Constants!B:B,MATCH(($I109/12),Constants!$A:$A,0))=0,0,INDEX(Constants!B:B,MATCH(($I109/12),Constants!$A:$A,0)))),0),"")</f>
        <v/>
      </c>
      <c r="AR109" s="146" t="str">
        <f>IFERROR(_xlfn.IFNA(IF($BA109="No",0,IF(INDEX(Constants!C:C,MATCH(($I109/12),Constants!$A:$A,0))=0,0,INDEX(Constants!C:C,MATCH(($I109/12),Constants!$A:$A,0)))),0),"")</f>
        <v/>
      </c>
      <c r="AS109" s="146" t="str">
        <f>IFERROR(_xlfn.IFNA(IF($BA109="No",0,IF(INDEX(Constants!D:D,MATCH(($I109/12),Constants!$A:$A,0))=0,0,INDEX(Constants!D:D,MATCH(($I109/12),Constants!$A:$A,0)))),0),"")</f>
        <v/>
      </c>
      <c r="AT109" s="146" t="str">
        <f>IFERROR(_xlfn.IFNA(IF($BA109="No",0,IF(INDEX(Constants!E:E,MATCH(($I109/12),Constants!$A:$A,0))=0,0,INDEX(Constants!E:E,MATCH(($I109/12),Constants!$A:$A,0)))),0),"")</f>
        <v/>
      </c>
      <c r="AU109" s="146" t="str">
        <f>IFERROR(_xlfn.IFNA(IF($BA109="No",0,IF(INDEX(Constants!F:F,MATCH(($I109/12),Constants!$A:$A,0))=0,0,INDEX(Constants!F:F,MATCH(($I109/12),Constants!$A:$A,0)))),0),"")</f>
        <v/>
      </c>
      <c r="AV109" s="146" t="str">
        <f>IFERROR(_xlfn.IFNA(IF($BA109="No",0,IF(INDEX(Constants!G:G,MATCH(($I109/12),Constants!$A:$A,0))=0,0,INDEX(Constants!G:G,MATCH(($I109/12),Constants!$A:$A,0)))),0),"")</f>
        <v/>
      </c>
      <c r="AW109" s="146" t="str">
        <f>IFERROR(_xlfn.IFNA(IF($BA109="No",0,IF(INDEX(Constants!H:H,MATCH(($I109/12),Constants!$A:$A,0))=0,0,INDEX(Constants!H:H,MATCH(($I109/12),Constants!$A:$A,0)))),0),"")</f>
        <v/>
      </c>
      <c r="AX109" s="146" t="str">
        <f>IFERROR(_xlfn.IFNA(IF($BA109="No",0,IF(INDEX(Constants!I:I,MATCH(($I109/12),Constants!$A:$A,0))=0,0,INDEX(Constants!I:I,MATCH(($I109/12),Constants!$A:$A,0)))),0),"")</f>
        <v/>
      </c>
      <c r="AY109" s="146" t="str">
        <f>IFERROR(_xlfn.IFNA(IF($BA109="No",0,IF(INDEX(Constants!J:J,MATCH(($I109/12),Constants!$A:$A,0))=0,0,INDEX(Constants!J:J,MATCH(($I109/12),Constants!$A:$A,0)))),0),"")</f>
        <v/>
      </c>
      <c r="AZ109" s="146" t="str">
        <f>IFERROR(_xlfn.IFNA(IF($BA109="No",0,IF(INDEX(Constants!K:K,MATCH(($I109/12),Constants!$A:$A,0))=0,0,INDEX(Constants!K:K,MATCH(($I109/12),Constants!$A:$A,0)))),0),"")</f>
        <v/>
      </c>
      <c r="BA109" s="147" t="str">
        <f>_xlfn.IFNA(INDEX(Producer!$L:$L,MATCH($D109,Producer!$A:$A,0)),"")</f>
        <v/>
      </c>
      <c r="BB109" s="146" t="str">
        <f>IFERROR(IF(AQ109=0,"",IF(($I109/12)=15,_xlfn.CONCAT(Constants!$N$7,TEXT(DATE(YEAR(H109)-(($I109/12)-3),MONTH(H109),DAY(H109)),"dd/mm/yyyy"),", ",Constants!$P$7,TEXT(DATE(YEAR(H109)-(($I109/12)-8),MONTH(H109),DAY(H109)),"dd/mm/yyyy"),", ",Constants!$T$7,TEXT(DATE(YEAR(H109)-(($I109/12)-11),MONTH(H109),DAY(H109)),"dd/mm/yyyy"),", ",Constants!$V$7,TEXT(DATE(YEAR(H109)-(($I109/12)-13),MONTH(H109),DAY(H109)),"dd/mm/yyyy"),", ",Constants!$W$7,TEXT($H109,"dd/mm/yyyy")),IF(($I109/12)=10,_xlfn.CONCAT(Constants!$N$6,TEXT(DATE(YEAR(H109)-(($I109/12)-2),MONTH(H109),DAY(H109)),"dd/mm/yyyy"),", ",Constants!$P$6,TEXT(DATE(YEAR(H109)-(($I109/12)-6),MONTH(H109),DAY(H109)),"dd/mm/yyyy"),", ",Constants!$T$6,TEXT(DATE(YEAR(H109)-(($I109/12)-8),MONTH(H109),DAY(H109)),"dd/mm/yyyy"),", ",Constants!$V$6,TEXT(DATE(YEAR(H109)-(($I109/12)-9),MONTH(H109),DAY(H109)),"dd/mm/yyyy"),", ",Constants!$W$6,TEXT($H109,"dd/mm/yyyy")),IF(($I109/12)=5,_xlfn.CONCAT(Constants!$N$5,TEXT(DATE(YEAR(H109)-(($I109/12)-1),MONTH(H109),DAY(H109)),"dd/mm/yyyy"),", ",Constants!$O$5,TEXT(DATE(YEAR(H109)-(($I109/12)-2),MONTH(H109),DAY(H109)),"dd/mm/yyyy"),", ",Constants!$P$5,TEXT(DATE(YEAR(H109)-(($I109/12)-3),MONTH(H109),DAY(H109)),"dd/mm/yyyy"),", ",Constants!$Q$5,TEXT(DATE(YEAR(H109)-(($I109/12)-4),MONTH(H109),DAY(H109)),"dd/mm/yyyy"),", ",Constants!$R$5,TEXT($H109,"dd/mm/yyyy")),IF(($I109/12)=3,_xlfn.CONCAT(Constants!$N$4,TEXT(DATE(YEAR(H109)-(($I109/12)-1),MONTH(H109),DAY(H109)),"dd/mm/yyyy"),", ",Constants!$O$4,TEXT(DATE(YEAR(H109)-(($I109/12)-2),MONTH(H109),DAY(H109)),"dd/mm/yyyy"),", ",Constants!$P$4,TEXT($H109,"dd/mm/yyyy")),IF(($I109/12)=2,_xlfn.CONCAT(Constants!$N$3,TEXT(DATE(YEAR(H109)-(($I109/12)-1),MONTH(H109),DAY(H109)),"dd/mm/yyyy"),", ",Constants!$O$3,TEXT($H109,"dd/mm/yyyy")),IF(($I109/12)=1,_xlfn.CONCAT(Constants!$N$2,TEXT($H109,"dd/mm/yyyy")),"Update Constants"))))))),"")</f>
        <v/>
      </c>
      <c r="BC109" s="147" t="str">
        <f>_xlfn.IFNA(VALUE(INDEX(Producer!$K:$K,MATCH($D109,Producer!$A:$A,0))),"")</f>
        <v/>
      </c>
      <c r="BD109" s="147" t="str">
        <f>_xlfn.IFNA(INDEX(Producer!$I:$I,MATCH($D109,Producer!$A:$A,0)),"")</f>
        <v/>
      </c>
      <c r="BE109" s="147" t="str">
        <f t="shared" si="36"/>
        <v/>
      </c>
      <c r="BF109" s="147"/>
      <c r="BG109" s="147"/>
      <c r="BH109" s="151" t="str">
        <f>_xlfn.IFNA(INDEX(Constants!$B:$B,MATCH(BC109,Constants!A:A,0)),"")</f>
        <v/>
      </c>
      <c r="BI109" s="147" t="str">
        <f>IF(LEFT(B109,15)="Limited Company",Constants!$D$16,IFERROR(_xlfn.IFNA(IF(C109="Residential",IF(BK109&lt;75,INDEX(Constants!$B:$B,MATCH(VALUE(60)/100,Constants!$A:$A,0)),INDEX(Constants!$B:$B,MATCH(VALUE(BK109)/100,Constants!$A:$A,0))),IF(BK109&lt;60,INDEX(Constants!$C:$C,MATCH(VALUE(60)/100,Constants!$A:$A,0)),INDEX(Constants!$C:$C,MATCH(VALUE(BK109)/100,Constants!$A:$A,0)))),""),""))</f>
        <v/>
      </c>
      <c r="BJ109" s="147" t="str">
        <f t="shared" si="37"/>
        <v/>
      </c>
      <c r="BK109" s="147" t="str">
        <f>_xlfn.IFNA(VALUE(INDEX(Producer!$E:$E,MATCH($D109,Producer!$A:$A,0)))*100,"")</f>
        <v/>
      </c>
      <c r="BL109" s="146" t="str">
        <f>_xlfn.IFNA(IF(IFERROR(FIND("Part &amp; Part",B109),-10)&gt;0,"PP",IF(OR(LEFT(B109,25)="Residential Interest Only",INDEX(Producer!$P:$P,MATCH($D109,Producer!$A:$A,0))="IO",INDEX(Producer!$P:$P,MATCH($D109,Producer!$A:$A,0))="Retirement Interest Only"),"IO",IF($C109="BuyToLet","CI, IO","CI"))),"")</f>
        <v/>
      </c>
      <c r="BM109" s="152" t="str">
        <f>_xlfn.IFNA(IF(BL109="IO",100%,IF(AND(INDEX(Producer!$P:$P,MATCH($D109,Producer!$A:$A,0))="Residential Interest Only Part &amp; Part",BK109=75),80%,IF(C109="BuyToLet",100%,IF(BL109="Interest Only",100%,IF(AND(INDEX(Producer!$P:$P,MATCH($D109,Producer!$A:$A,0))="Residential Interest Only Part &amp; Part",BK109=60),100%,""))))),"")</f>
        <v/>
      </c>
      <c r="BN109" s="218" t="str">
        <f>_xlfn.IFNA(IF(VALUE(INDEX(Producer!$H:$H,MATCH($D109,Producer!$A:$A,0)))=0,"",VALUE(INDEX(Producer!$H:$H,MATCH($D109,Producer!$A:$A,0)))),"")</f>
        <v/>
      </c>
      <c r="BO109" s="153"/>
      <c r="BP109" s="153"/>
      <c r="BQ109" s="219" t="str">
        <f t="shared" si="38"/>
        <v/>
      </c>
      <c r="BR109" s="146"/>
      <c r="BS109" s="146"/>
      <c r="BT109" s="146"/>
      <c r="BU109" s="146"/>
      <c r="BV109" s="219" t="str">
        <f t="shared" si="39"/>
        <v/>
      </c>
      <c r="BW109" s="146"/>
      <c r="BX109" s="146"/>
      <c r="BY109" s="146" t="str">
        <f t="shared" si="40"/>
        <v/>
      </c>
      <c r="BZ109" s="146" t="str">
        <f t="shared" si="41"/>
        <v/>
      </c>
      <c r="CA109" s="146" t="str">
        <f t="shared" si="42"/>
        <v/>
      </c>
      <c r="CB109" s="146" t="str">
        <f t="shared" si="43"/>
        <v/>
      </c>
      <c r="CC109" s="146" t="str">
        <f>_xlfn.IFNA(IF(INDEX(Producer!$P:$P,MATCH($D109,Producer!$A:$A,0))="Help to Buy","Only available","No"),"")</f>
        <v/>
      </c>
      <c r="CD109" s="146" t="str">
        <f>_xlfn.IFNA(IF(INDEX(Producer!$P:$P,MATCH($D109,Producer!$A:$A,0))="Shared Ownership","Only available","No"),"")</f>
        <v/>
      </c>
      <c r="CE109" s="146" t="str">
        <f>_xlfn.IFNA(IF(INDEX(Producer!$P:$P,MATCH($D109,Producer!$A:$A,0))="Right to Buy","Only available","No"),"")</f>
        <v/>
      </c>
      <c r="CF109" s="146" t="str">
        <f t="shared" si="44"/>
        <v/>
      </c>
      <c r="CG109" s="146" t="str">
        <f>_xlfn.IFNA(IF(INDEX(Producer!$P:$P,MATCH($D109,Producer!$A:$A,0))="Retirement Interest Only","Only available","No"),"")</f>
        <v/>
      </c>
      <c r="CH109" s="146" t="str">
        <f t="shared" si="45"/>
        <v/>
      </c>
      <c r="CI109" s="146" t="str">
        <f>_xlfn.IFNA(IF(INDEX(Producer!$P:$P,MATCH($D109,Producer!$A:$A,0))="Intermediary Holiday Let","Only available","No"),"")</f>
        <v/>
      </c>
      <c r="CJ109" s="146" t="str">
        <f t="shared" si="46"/>
        <v/>
      </c>
      <c r="CK109" s="146" t="str">
        <f>_xlfn.IFNA(IF(OR(INDEX(Producer!$P:$P,MATCH($D109,Producer!$A:$A,0))="Intermediary Small HMO",INDEX(Producer!$P:$P,MATCH($D109,Producer!$A:$A,0))="Intermediary Large HMO"),"Only available","No"),"")</f>
        <v/>
      </c>
      <c r="CL109" s="146" t="str">
        <f t="shared" si="47"/>
        <v/>
      </c>
      <c r="CM109" s="146" t="str">
        <f t="shared" si="48"/>
        <v/>
      </c>
      <c r="CN109" s="146" t="str">
        <f t="shared" si="49"/>
        <v/>
      </c>
      <c r="CO109" s="146" t="str">
        <f t="shared" si="50"/>
        <v/>
      </c>
      <c r="CP109" s="146" t="str">
        <f t="shared" si="51"/>
        <v/>
      </c>
      <c r="CQ109" s="146" t="str">
        <f t="shared" si="52"/>
        <v/>
      </c>
      <c r="CR109" s="146" t="str">
        <f t="shared" si="53"/>
        <v/>
      </c>
      <c r="CS109" s="146" t="str">
        <f t="shared" si="54"/>
        <v/>
      </c>
      <c r="CT109" s="146" t="str">
        <f t="shared" si="55"/>
        <v/>
      </c>
      <c r="CU109" s="146"/>
    </row>
    <row r="110" spans="1:99" ht="16.399999999999999" customHeight="1" x14ac:dyDescent="0.35">
      <c r="A110" s="145" t="str">
        <f t="shared" si="28"/>
        <v/>
      </c>
      <c r="B110" s="145" t="str">
        <f>_xlfn.IFNA(_xlfn.CONCAT(INDEX(Producer!$P:$P,MATCH($D110,Producer!$A:$A,0))," ",IF(INDEX(Producer!$N:$N,MATCH($D110,Producer!$A:$A,0))="Yes","Green ",""),IF(AND(INDEX(Producer!$L:$L,MATCH($D110,Producer!$A:$A,0))="No",INDEX(Producer!$C:$C,MATCH($D110,Producer!$A:$A,0))="Fixed"),"Flexit ",""),INDEX(Producer!$B:$B,MATCH($D110,Producer!$A:$A,0))," Year ",INDEX(Producer!$C:$C,MATCH($D110,Producer!$A:$A,0))," ",VALUE(INDEX(Producer!$E:$E,MATCH($D110,Producer!$A:$A,0)))*100,"% LTV",IF(INDEX(Producer!$N:$N,MATCH($D110,Producer!$A:$A,0))="Yes"," (EPC A-C)","")," - ",IF(INDEX(Producer!$D:$D,MATCH($D110,Producer!$A:$A,0))="DLY","Daily","Annual")),"")</f>
        <v/>
      </c>
      <c r="C110" s="146" t="str">
        <f>_xlfn.IFNA(INDEX(Producer!$Q:$Q,MATCH($D110,Producer!$A:$A,0)),"")</f>
        <v/>
      </c>
      <c r="D110" s="146" t="str">
        <f>IFERROR(VALUE(MID(Producer!$R$2,IF($D109="",1/0,FIND(_xlfn.CONCAT($D108,$D109),Producer!$R$2)+10),5)),"")</f>
        <v/>
      </c>
      <c r="E110" s="146" t="str">
        <f t="shared" si="29"/>
        <v/>
      </c>
      <c r="F110" s="146"/>
      <c r="G110" s="147" t="str">
        <f>_xlfn.IFNA(VALUE(INDEX(Producer!$F:$F,MATCH($D110,Producer!$A:$A,0)))*100,"")</f>
        <v/>
      </c>
      <c r="H110" s="216" t="str">
        <f>_xlfn.IFNA(IFERROR(DATEVALUE(INDEX(Producer!$M:$M,MATCH($D110,Producer!$A:$A,0))),(INDEX(Producer!$M:$M,MATCH($D110,Producer!$A:$A,0)))),"")</f>
        <v/>
      </c>
      <c r="I110" s="217" t="str">
        <f>_xlfn.IFNA(VALUE(INDEX(Producer!$B:$B,MATCH($D110,Producer!$A:$A,0)))*12,"")</f>
        <v/>
      </c>
      <c r="J110" s="146" t="str">
        <f>_xlfn.IFNA(IF(C110="Residential",IF(VALUE(INDEX(Producer!$B:$B,MATCH($D110,Producer!$A:$A,0)))&lt;5,Constants!$C$10,""),IF(VALUE(INDEX(Producer!$B:$B,MATCH($D110,Producer!$A:$A,0)))&lt;5,Constants!$C$11,"")),"")</f>
        <v/>
      </c>
      <c r="K110" s="216" t="str">
        <f>_xlfn.IFNA(IF(($I110)&lt;60,DATE(YEAR(H110)+(5-VALUE(INDEX(Producer!$B:$B,MATCH($D110,Producer!$A:$A,0)))),MONTH(H110),DAY(H110)),""),"")</f>
        <v/>
      </c>
      <c r="L110" s="153" t="str">
        <f t="shared" si="30"/>
        <v/>
      </c>
      <c r="M110" s="146"/>
      <c r="N110" s="148"/>
      <c r="O110" s="148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 t="str">
        <f>IF(D110="","",IF(C110="Residential",Constants!$B$10,Constants!$B$11))</f>
        <v/>
      </c>
      <c r="AL110" s="146" t="str">
        <f t="shared" si="31"/>
        <v/>
      </c>
      <c r="AM110" s="206" t="str">
        <f t="shared" si="32"/>
        <v/>
      </c>
      <c r="AN110" s="146" t="str">
        <f t="shared" si="33"/>
        <v/>
      </c>
      <c r="AO110" s="149" t="str">
        <f t="shared" si="34"/>
        <v/>
      </c>
      <c r="AP110" s="150" t="str">
        <f t="shared" si="35"/>
        <v/>
      </c>
      <c r="AQ110" s="146" t="str">
        <f>IFERROR(_xlfn.IFNA(IF($BA110="No",0,IF(INDEX(Constants!B:B,MATCH(($I110/12),Constants!$A:$A,0))=0,0,INDEX(Constants!B:B,MATCH(($I110/12),Constants!$A:$A,0)))),0),"")</f>
        <v/>
      </c>
      <c r="AR110" s="146" t="str">
        <f>IFERROR(_xlfn.IFNA(IF($BA110="No",0,IF(INDEX(Constants!C:C,MATCH(($I110/12),Constants!$A:$A,0))=0,0,INDEX(Constants!C:C,MATCH(($I110/12),Constants!$A:$A,0)))),0),"")</f>
        <v/>
      </c>
      <c r="AS110" s="146" t="str">
        <f>IFERROR(_xlfn.IFNA(IF($BA110="No",0,IF(INDEX(Constants!D:D,MATCH(($I110/12),Constants!$A:$A,0))=0,0,INDEX(Constants!D:D,MATCH(($I110/12),Constants!$A:$A,0)))),0),"")</f>
        <v/>
      </c>
      <c r="AT110" s="146" t="str">
        <f>IFERROR(_xlfn.IFNA(IF($BA110="No",0,IF(INDEX(Constants!E:E,MATCH(($I110/12),Constants!$A:$A,0))=0,0,INDEX(Constants!E:E,MATCH(($I110/12),Constants!$A:$A,0)))),0),"")</f>
        <v/>
      </c>
      <c r="AU110" s="146" t="str">
        <f>IFERROR(_xlfn.IFNA(IF($BA110="No",0,IF(INDEX(Constants!F:F,MATCH(($I110/12),Constants!$A:$A,0))=0,0,INDEX(Constants!F:F,MATCH(($I110/12),Constants!$A:$A,0)))),0),"")</f>
        <v/>
      </c>
      <c r="AV110" s="146" t="str">
        <f>IFERROR(_xlfn.IFNA(IF($BA110="No",0,IF(INDEX(Constants!G:G,MATCH(($I110/12),Constants!$A:$A,0))=0,0,INDEX(Constants!G:G,MATCH(($I110/12),Constants!$A:$A,0)))),0),"")</f>
        <v/>
      </c>
      <c r="AW110" s="146" t="str">
        <f>IFERROR(_xlfn.IFNA(IF($BA110="No",0,IF(INDEX(Constants!H:H,MATCH(($I110/12),Constants!$A:$A,0))=0,0,INDEX(Constants!H:H,MATCH(($I110/12),Constants!$A:$A,0)))),0),"")</f>
        <v/>
      </c>
      <c r="AX110" s="146" t="str">
        <f>IFERROR(_xlfn.IFNA(IF($BA110="No",0,IF(INDEX(Constants!I:I,MATCH(($I110/12),Constants!$A:$A,0))=0,0,INDEX(Constants!I:I,MATCH(($I110/12),Constants!$A:$A,0)))),0),"")</f>
        <v/>
      </c>
      <c r="AY110" s="146" t="str">
        <f>IFERROR(_xlfn.IFNA(IF($BA110="No",0,IF(INDEX(Constants!J:J,MATCH(($I110/12),Constants!$A:$A,0))=0,0,INDEX(Constants!J:J,MATCH(($I110/12),Constants!$A:$A,0)))),0),"")</f>
        <v/>
      </c>
      <c r="AZ110" s="146" t="str">
        <f>IFERROR(_xlfn.IFNA(IF($BA110="No",0,IF(INDEX(Constants!K:K,MATCH(($I110/12),Constants!$A:$A,0))=0,0,INDEX(Constants!K:K,MATCH(($I110/12),Constants!$A:$A,0)))),0),"")</f>
        <v/>
      </c>
      <c r="BA110" s="147" t="str">
        <f>_xlfn.IFNA(INDEX(Producer!$L:$L,MATCH($D110,Producer!$A:$A,0)),"")</f>
        <v/>
      </c>
      <c r="BB110" s="146" t="str">
        <f>IFERROR(IF(AQ110=0,"",IF(($I110/12)=15,_xlfn.CONCAT(Constants!$N$7,TEXT(DATE(YEAR(H110)-(($I110/12)-3),MONTH(H110),DAY(H110)),"dd/mm/yyyy"),", ",Constants!$P$7,TEXT(DATE(YEAR(H110)-(($I110/12)-8),MONTH(H110),DAY(H110)),"dd/mm/yyyy"),", ",Constants!$T$7,TEXT(DATE(YEAR(H110)-(($I110/12)-11),MONTH(H110),DAY(H110)),"dd/mm/yyyy"),", ",Constants!$V$7,TEXT(DATE(YEAR(H110)-(($I110/12)-13),MONTH(H110),DAY(H110)),"dd/mm/yyyy"),", ",Constants!$W$7,TEXT($H110,"dd/mm/yyyy")),IF(($I110/12)=10,_xlfn.CONCAT(Constants!$N$6,TEXT(DATE(YEAR(H110)-(($I110/12)-2),MONTH(H110),DAY(H110)),"dd/mm/yyyy"),", ",Constants!$P$6,TEXT(DATE(YEAR(H110)-(($I110/12)-6),MONTH(H110),DAY(H110)),"dd/mm/yyyy"),", ",Constants!$T$6,TEXT(DATE(YEAR(H110)-(($I110/12)-8),MONTH(H110),DAY(H110)),"dd/mm/yyyy"),", ",Constants!$V$6,TEXT(DATE(YEAR(H110)-(($I110/12)-9),MONTH(H110),DAY(H110)),"dd/mm/yyyy"),", ",Constants!$W$6,TEXT($H110,"dd/mm/yyyy")),IF(($I110/12)=5,_xlfn.CONCAT(Constants!$N$5,TEXT(DATE(YEAR(H110)-(($I110/12)-1),MONTH(H110),DAY(H110)),"dd/mm/yyyy"),", ",Constants!$O$5,TEXT(DATE(YEAR(H110)-(($I110/12)-2),MONTH(H110),DAY(H110)),"dd/mm/yyyy"),", ",Constants!$P$5,TEXT(DATE(YEAR(H110)-(($I110/12)-3),MONTH(H110),DAY(H110)),"dd/mm/yyyy"),", ",Constants!$Q$5,TEXT(DATE(YEAR(H110)-(($I110/12)-4),MONTH(H110),DAY(H110)),"dd/mm/yyyy"),", ",Constants!$R$5,TEXT($H110,"dd/mm/yyyy")),IF(($I110/12)=3,_xlfn.CONCAT(Constants!$N$4,TEXT(DATE(YEAR(H110)-(($I110/12)-1),MONTH(H110),DAY(H110)),"dd/mm/yyyy"),", ",Constants!$O$4,TEXT(DATE(YEAR(H110)-(($I110/12)-2),MONTH(H110),DAY(H110)),"dd/mm/yyyy"),", ",Constants!$P$4,TEXT($H110,"dd/mm/yyyy")),IF(($I110/12)=2,_xlfn.CONCAT(Constants!$N$3,TEXT(DATE(YEAR(H110)-(($I110/12)-1),MONTH(H110),DAY(H110)),"dd/mm/yyyy"),", ",Constants!$O$3,TEXT($H110,"dd/mm/yyyy")),IF(($I110/12)=1,_xlfn.CONCAT(Constants!$N$2,TEXT($H110,"dd/mm/yyyy")),"Update Constants"))))))),"")</f>
        <v/>
      </c>
      <c r="BC110" s="147" t="str">
        <f>_xlfn.IFNA(VALUE(INDEX(Producer!$K:$K,MATCH($D110,Producer!$A:$A,0))),"")</f>
        <v/>
      </c>
      <c r="BD110" s="147" t="str">
        <f>_xlfn.IFNA(INDEX(Producer!$I:$I,MATCH($D110,Producer!$A:$A,0)),"")</f>
        <v/>
      </c>
      <c r="BE110" s="147" t="str">
        <f t="shared" si="36"/>
        <v/>
      </c>
      <c r="BF110" s="147"/>
      <c r="BG110" s="147"/>
      <c r="BH110" s="151" t="str">
        <f>_xlfn.IFNA(INDEX(Constants!$B:$B,MATCH(BC110,Constants!A:A,0)),"")</f>
        <v/>
      </c>
      <c r="BI110" s="147" t="str">
        <f>IF(LEFT(B110,15)="Limited Company",Constants!$D$16,IFERROR(_xlfn.IFNA(IF(C110="Residential",IF(BK110&lt;75,INDEX(Constants!$B:$B,MATCH(VALUE(60)/100,Constants!$A:$A,0)),INDEX(Constants!$B:$B,MATCH(VALUE(BK110)/100,Constants!$A:$A,0))),IF(BK110&lt;60,INDEX(Constants!$C:$C,MATCH(VALUE(60)/100,Constants!$A:$A,0)),INDEX(Constants!$C:$C,MATCH(VALUE(BK110)/100,Constants!$A:$A,0)))),""),""))</f>
        <v/>
      </c>
      <c r="BJ110" s="147" t="str">
        <f t="shared" si="37"/>
        <v/>
      </c>
      <c r="BK110" s="147" t="str">
        <f>_xlfn.IFNA(VALUE(INDEX(Producer!$E:$E,MATCH($D110,Producer!$A:$A,0)))*100,"")</f>
        <v/>
      </c>
      <c r="BL110" s="146" t="str">
        <f>_xlfn.IFNA(IF(IFERROR(FIND("Part &amp; Part",B110),-10)&gt;0,"PP",IF(OR(LEFT(B110,25)="Residential Interest Only",INDEX(Producer!$P:$P,MATCH($D110,Producer!$A:$A,0))="IO",INDEX(Producer!$P:$P,MATCH($D110,Producer!$A:$A,0))="Retirement Interest Only"),"IO",IF($C110="BuyToLet","CI, IO","CI"))),"")</f>
        <v/>
      </c>
      <c r="BM110" s="152" t="str">
        <f>_xlfn.IFNA(IF(BL110="IO",100%,IF(AND(INDEX(Producer!$P:$P,MATCH($D110,Producer!$A:$A,0))="Residential Interest Only Part &amp; Part",BK110=75),80%,IF(C110="BuyToLet",100%,IF(BL110="Interest Only",100%,IF(AND(INDEX(Producer!$P:$P,MATCH($D110,Producer!$A:$A,0))="Residential Interest Only Part &amp; Part",BK110=60),100%,""))))),"")</f>
        <v/>
      </c>
      <c r="BN110" s="218" t="str">
        <f>_xlfn.IFNA(IF(VALUE(INDEX(Producer!$H:$H,MATCH($D110,Producer!$A:$A,0)))=0,"",VALUE(INDEX(Producer!$H:$H,MATCH($D110,Producer!$A:$A,0)))),"")</f>
        <v/>
      </c>
      <c r="BO110" s="153"/>
      <c r="BP110" s="153"/>
      <c r="BQ110" s="219" t="str">
        <f t="shared" si="38"/>
        <v/>
      </c>
      <c r="BR110" s="146"/>
      <c r="BS110" s="146"/>
      <c r="BT110" s="146"/>
      <c r="BU110" s="146"/>
      <c r="BV110" s="219" t="str">
        <f t="shared" si="39"/>
        <v/>
      </c>
      <c r="BW110" s="146"/>
      <c r="BX110" s="146"/>
      <c r="BY110" s="146" t="str">
        <f t="shared" si="40"/>
        <v/>
      </c>
      <c r="BZ110" s="146" t="str">
        <f t="shared" si="41"/>
        <v/>
      </c>
      <c r="CA110" s="146" t="str">
        <f t="shared" si="42"/>
        <v/>
      </c>
      <c r="CB110" s="146" t="str">
        <f t="shared" si="43"/>
        <v/>
      </c>
      <c r="CC110" s="146" t="str">
        <f>_xlfn.IFNA(IF(INDEX(Producer!$P:$P,MATCH($D110,Producer!$A:$A,0))="Help to Buy","Only available","No"),"")</f>
        <v/>
      </c>
      <c r="CD110" s="146" t="str">
        <f>_xlfn.IFNA(IF(INDEX(Producer!$P:$P,MATCH($D110,Producer!$A:$A,0))="Shared Ownership","Only available","No"),"")</f>
        <v/>
      </c>
      <c r="CE110" s="146" t="str">
        <f>_xlfn.IFNA(IF(INDEX(Producer!$P:$P,MATCH($D110,Producer!$A:$A,0))="Right to Buy","Only available","No"),"")</f>
        <v/>
      </c>
      <c r="CF110" s="146" t="str">
        <f t="shared" si="44"/>
        <v/>
      </c>
      <c r="CG110" s="146" t="str">
        <f>_xlfn.IFNA(IF(INDEX(Producer!$P:$P,MATCH($D110,Producer!$A:$A,0))="Retirement Interest Only","Only available","No"),"")</f>
        <v/>
      </c>
      <c r="CH110" s="146" t="str">
        <f t="shared" si="45"/>
        <v/>
      </c>
      <c r="CI110" s="146" t="str">
        <f>_xlfn.IFNA(IF(INDEX(Producer!$P:$P,MATCH($D110,Producer!$A:$A,0))="Intermediary Holiday Let","Only available","No"),"")</f>
        <v/>
      </c>
      <c r="CJ110" s="146" t="str">
        <f t="shared" si="46"/>
        <v/>
      </c>
      <c r="CK110" s="146" t="str">
        <f>_xlfn.IFNA(IF(OR(INDEX(Producer!$P:$P,MATCH($D110,Producer!$A:$A,0))="Intermediary Small HMO",INDEX(Producer!$P:$P,MATCH($D110,Producer!$A:$A,0))="Intermediary Large HMO"),"Only available","No"),"")</f>
        <v/>
      </c>
      <c r="CL110" s="146" t="str">
        <f t="shared" si="47"/>
        <v/>
      </c>
      <c r="CM110" s="146" t="str">
        <f t="shared" si="48"/>
        <v/>
      </c>
      <c r="CN110" s="146" t="str">
        <f t="shared" si="49"/>
        <v/>
      </c>
      <c r="CO110" s="146" t="str">
        <f t="shared" si="50"/>
        <v/>
      </c>
      <c r="CP110" s="146" t="str">
        <f t="shared" si="51"/>
        <v/>
      </c>
      <c r="CQ110" s="146" t="str">
        <f t="shared" si="52"/>
        <v/>
      </c>
      <c r="CR110" s="146" t="str">
        <f t="shared" si="53"/>
        <v/>
      </c>
      <c r="CS110" s="146" t="str">
        <f t="shared" si="54"/>
        <v/>
      </c>
      <c r="CT110" s="146" t="str">
        <f t="shared" si="55"/>
        <v/>
      </c>
      <c r="CU110" s="146"/>
    </row>
    <row r="111" spans="1:99" ht="16.399999999999999" customHeight="1" x14ac:dyDescent="0.35">
      <c r="A111" s="145" t="str">
        <f t="shared" si="28"/>
        <v/>
      </c>
      <c r="B111" s="145" t="str">
        <f>_xlfn.IFNA(_xlfn.CONCAT(INDEX(Producer!$P:$P,MATCH($D111,Producer!$A:$A,0))," ",IF(INDEX(Producer!$N:$N,MATCH($D111,Producer!$A:$A,0))="Yes","Green ",""),IF(AND(INDEX(Producer!$L:$L,MATCH($D111,Producer!$A:$A,0))="No",INDEX(Producer!$C:$C,MATCH($D111,Producer!$A:$A,0))="Fixed"),"Flexit ",""),INDEX(Producer!$B:$B,MATCH($D111,Producer!$A:$A,0))," Year ",INDEX(Producer!$C:$C,MATCH($D111,Producer!$A:$A,0))," ",VALUE(INDEX(Producer!$E:$E,MATCH($D111,Producer!$A:$A,0)))*100,"% LTV",IF(INDEX(Producer!$N:$N,MATCH($D111,Producer!$A:$A,0))="Yes"," (EPC A-C)","")," - ",IF(INDEX(Producer!$D:$D,MATCH($D111,Producer!$A:$A,0))="DLY","Daily","Annual")),"")</f>
        <v/>
      </c>
      <c r="C111" s="146" t="str">
        <f>_xlfn.IFNA(INDEX(Producer!$Q:$Q,MATCH($D111,Producer!$A:$A,0)),"")</f>
        <v/>
      </c>
      <c r="D111" s="146" t="str">
        <f>IFERROR(VALUE(MID(Producer!$R$2,IF($D110="",1/0,FIND(_xlfn.CONCAT($D109,$D110),Producer!$R$2)+10),5)),"")</f>
        <v/>
      </c>
      <c r="E111" s="146" t="str">
        <f t="shared" si="29"/>
        <v/>
      </c>
      <c r="F111" s="146"/>
      <c r="G111" s="147" t="str">
        <f>_xlfn.IFNA(VALUE(INDEX(Producer!$F:$F,MATCH($D111,Producer!$A:$A,0)))*100,"")</f>
        <v/>
      </c>
      <c r="H111" s="216" t="str">
        <f>_xlfn.IFNA(IFERROR(DATEVALUE(INDEX(Producer!$M:$M,MATCH($D111,Producer!$A:$A,0))),(INDEX(Producer!$M:$M,MATCH($D111,Producer!$A:$A,0)))),"")</f>
        <v/>
      </c>
      <c r="I111" s="217" t="str">
        <f>_xlfn.IFNA(VALUE(INDEX(Producer!$B:$B,MATCH($D111,Producer!$A:$A,0)))*12,"")</f>
        <v/>
      </c>
      <c r="J111" s="146" t="str">
        <f>_xlfn.IFNA(IF(C111="Residential",IF(VALUE(INDEX(Producer!$B:$B,MATCH($D111,Producer!$A:$A,0)))&lt;5,Constants!$C$10,""),IF(VALUE(INDEX(Producer!$B:$B,MATCH($D111,Producer!$A:$A,0)))&lt;5,Constants!$C$11,"")),"")</f>
        <v/>
      </c>
      <c r="K111" s="216" t="str">
        <f>_xlfn.IFNA(IF(($I111)&lt;60,DATE(YEAR(H111)+(5-VALUE(INDEX(Producer!$B:$B,MATCH($D111,Producer!$A:$A,0)))),MONTH(H111),DAY(H111)),""),"")</f>
        <v/>
      </c>
      <c r="L111" s="153" t="str">
        <f t="shared" si="30"/>
        <v/>
      </c>
      <c r="M111" s="146"/>
      <c r="N111" s="148"/>
      <c r="O111" s="148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 t="str">
        <f>IF(D111="","",IF(C111="Residential",Constants!$B$10,Constants!$B$11))</f>
        <v/>
      </c>
      <c r="AL111" s="146" t="str">
        <f t="shared" si="31"/>
        <v/>
      </c>
      <c r="AM111" s="206" t="str">
        <f t="shared" si="32"/>
        <v/>
      </c>
      <c r="AN111" s="146" t="str">
        <f t="shared" si="33"/>
        <v/>
      </c>
      <c r="AO111" s="149" t="str">
        <f t="shared" si="34"/>
        <v/>
      </c>
      <c r="AP111" s="150" t="str">
        <f t="shared" si="35"/>
        <v/>
      </c>
      <c r="AQ111" s="146" t="str">
        <f>IFERROR(_xlfn.IFNA(IF($BA111="No",0,IF(INDEX(Constants!B:B,MATCH(($I111/12),Constants!$A:$A,0))=0,0,INDEX(Constants!B:B,MATCH(($I111/12),Constants!$A:$A,0)))),0),"")</f>
        <v/>
      </c>
      <c r="AR111" s="146" t="str">
        <f>IFERROR(_xlfn.IFNA(IF($BA111="No",0,IF(INDEX(Constants!C:C,MATCH(($I111/12),Constants!$A:$A,0))=0,0,INDEX(Constants!C:C,MATCH(($I111/12),Constants!$A:$A,0)))),0),"")</f>
        <v/>
      </c>
      <c r="AS111" s="146" t="str">
        <f>IFERROR(_xlfn.IFNA(IF($BA111="No",0,IF(INDEX(Constants!D:D,MATCH(($I111/12),Constants!$A:$A,0))=0,0,INDEX(Constants!D:D,MATCH(($I111/12),Constants!$A:$A,0)))),0),"")</f>
        <v/>
      </c>
      <c r="AT111" s="146" t="str">
        <f>IFERROR(_xlfn.IFNA(IF($BA111="No",0,IF(INDEX(Constants!E:E,MATCH(($I111/12),Constants!$A:$A,0))=0,0,INDEX(Constants!E:E,MATCH(($I111/12),Constants!$A:$A,0)))),0),"")</f>
        <v/>
      </c>
      <c r="AU111" s="146" t="str">
        <f>IFERROR(_xlfn.IFNA(IF($BA111="No",0,IF(INDEX(Constants!F:F,MATCH(($I111/12),Constants!$A:$A,0))=0,0,INDEX(Constants!F:F,MATCH(($I111/12),Constants!$A:$A,0)))),0),"")</f>
        <v/>
      </c>
      <c r="AV111" s="146" t="str">
        <f>IFERROR(_xlfn.IFNA(IF($BA111="No",0,IF(INDEX(Constants!G:G,MATCH(($I111/12),Constants!$A:$A,0))=0,0,INDEX(Constants!G:G,MATCH(($I111/12),Constants!$A:$A,0)))),0),"")</f>
        <v/>
      </c>
      <c r="AW111" s="146" t="str">
        <f>IFERROR(_xlfn.IFNA(IF($BA111="No",0,IF(INDEX(Constants!H:H,MATCH(($I111/12),Constants!$A:$A,0))=0,0,INDEX(Constants!H:H,MATCH(($I111/12),Constants!$A:$A,0)))),0),"")</f>
        <v/>
      </c>
      <c r="AX111" s="146" t="str">
        <f>IFERROR(_xlfn.IFNA(IF($BA111="No",0,IF(INDEX(Constants!I:I,MATCH(($I111/12),Constants!$A:$A,0))=0,0,INDEX(Constants!I:I,MATCH(($I111/12),Constants!$A:$A,0)))),0),"")</f>
        <v/>
      </c>
      <c r="AY111" s="146" t="str">
        <f>IFERROR(_xlfn.IFNA(IF($BA111="No",0,IF(INDEX(Constants!J:J,MATCH(($I111/12),Constants!$A:$A,0))=0,0,INDEX(Constants!J:J,MATCH(($I111/12),Constants!$A:$A,0)))),0),"")</f>
        <v/>
      </c>
      <c r="AZ111" s="146" t="str">
        <f>IFERROR(_xlfn.IFNA(IF($BA111="No",0,IF(INDEX(Constants!K:K,MATCH(($I111/12),Constants!$A:$A,0))=0,0,INDEX(Constants!K:K,MATCH(($I111/12),Constants!$A:$A,0)))),0),"")</f>
        <v/>
      </c>
      <c r="BA111" s="147" t="str">
        <f>_xlfn.IFNA(INDEX(Producer!$L:$L,MATCH($D111,Producer!$A:$A,0)),"")</f>
        <v/>
      </c>
      <c r="BB111" s="146" t="str">
        <f>IFERROR(IF(AQ111=0,"",IF(($I111/12)=15,_xlfn.CONCAT(Constants!$N$7,TEXT(DATE(YEAR(H111)-(($I111/12)-3),MONTH(H111),DAY(H111)),"dd/mm/yyyy"),", ",Constants!$P$7,TEXT(DATE(YEAR(H111)-(($I111/12)-8),MONTH(H111),DAY(H111)),"dd/mm/yyyy"),", ",Constants!$T$7,TEXT(DATE(YEAR(H111)-(($I111/12)-11),MONTH(H111),DAY(H111)),"dd/mm/yyyy"),", ",Constants!$V$7,TEXT(DATE(YEAR(H111)-(($I111/12)-13),MONTH(H111),DAY(H111)),"dd/mm/yyyy"),", ",Constants!$W$7,TEXT($H111,"dd/mm/yyyy")),IF(($I111/12)=10,_xlfn.CONCAT(Constants!$N$6,TEXT(DATE(YEAR(H111)-(($I111/12)-2),MONTH(H111),DAY(H111)),"dd/mm/yyyy"),", ",Constants!$P$6,TEXT(DATE(YEAR(H111)-(($I111/12)-6),MONTH(H111),DAY(H111)),"dd/mm/yyyy"),", ",Constants!$T$6,TEXT(DATE(YEAR(H111)-(($I111/12)-8),MONTH(H111),DAY(H111)),"dd/mm/yyyy"),", ",Constants!$V$6,TEXT(DATE(YEAR(H111)-(($I111/12)-9),MONTH(H111),DAY(H111)),"dd/mm/yyyy"),", ",Constants!$W$6,TEXT($H111,"dd/mm/yyyy")),IF(($I111/12)=5,_xlfn.CONCAT(Constants!$N$5,TEXT(DATE(YEAR(H111)-(($I111/12)-1),MONTH(H111),DAY(H111)),"dd/mm/yyyy"),", ",Constants!$O$5,TEXT(DATE(YEAR(H111)-(($I111/12)-2),MONTH(H111),DAY(H111)),"dd/mm/yyyy"),", ",Constants!$P$5,TEXT(DATE(YEAR(H111)-(($I111/12)-3),MONTH(H111),DAY(H111)),"dd/mm/yyyy"),", ",Constants!$Q$5,TEXT(DATE(YEAR(H111)-(($I111/12)-4),MONTH(H111),DAY(H111)),"dd/mm/yyyy"),", ",Constants!$R$5,TEXT($H111,"dd/mm/yyyy")),IF(($I111/12)=3,_xlfn.CONCAT(Constants!$N$4,TEXT(DATE(YEAR(H111)-(($I111/12)-1),MONTH(H111),DAY(H111)),"dd/mm/yyyy"),", ",Constants!$O$4,TEXT(DATE(YEAR(H111)-(($I111/12)-2),MONTH(H111),DAY(H111)),"dd/mm/yyyy"),", ",Constants!$P$4,TEXT($H111,"dd/mm/yyyy")),IF(($I111/12)=2,_xlfn.CONCAT(Constants!$N$3,TEXT(DATE(YEAR(H111)-(($I111/12)-1),MONTH(H111),DAY(H111)),"dd/mm/yyyy"),", ",Constants!$O$3,TEXT($H111,"dd/mm/yyyy")),IF(($I111/12)=1,_xlfn.CONCAT(Constants!$N$2,TEXT($H111,"dd/mm/yyyy")),"Update Constants"))))))),"")</f>
        <v/>
      </c>
      <c r="BC111" s="147" t="str">
        <f>_xlfn.IFNA(VALUE(INDEX(Producer!$K:$K,MATCH($D111,Producer!$A:$A,0))),"")</f>
        <v/>
      </c>
      <c r="BD111" s="147" t="str">
        <f>_xlfn.IFNA(INDEX(Producer!$I:$I,MATCH($D111,Producer!$A:$A,0)),"")</f>
        <v/>
      </c>
      <c r="BE111" s="147" t="str">
        <f t="shared" si="36"/>
        <v/>
      </c>
      <c r="BF111" s="147"/>
      <c r="BG111" s="147"/>
      <c r="BH111" s="151" t="str">
        <f>_xlfn.IFNA(INDEX(Constants!$B:$B,MATCH(BC111,Constants!A:A,0)),"")</f>
        <v/>
      </c>
      <c r="BI111" s="147" t="str">
        <f>IF(LEFT(B111,15)="Limited Company",Constants!$D$16,IFERROR(_xlfn.IFNA(IF(C111="Residential",IF(BK111&lt;75,INDEX(Constants!$B:$B,MATCH(VALUE(60)/100,Constants!$A:$A,0)),INDEX(Constants!$B:$B,MATCH(VALUE(BK111)/100,Constants!$A:$A,0))),IF(BK111&lt;60,INDEX(Constants!$C:$C,MATCH(VALUE(60)/100,Constants!$A:$A,0)),INDEX(Constants!$C:$C,MATCH(VALUE(BK111)/100,Constants!$A:$A,0)))),""),""))</f>
        <v/>
      </c>
      <c r="BJ111" s="147" t="str">
        <f t="shared" si="37"/>
        <v/>
      </c>
      <c r="BK111" s="147" t="str">
        <f>_xlfn.IFNA(VALUE(INDEX(Producer!$E:$E,MATCH($D111,Producer!$A:$A,0)))*100,"")</f>
        <v/>
      </c>
      <c r="BL111" s="146" t="str">
        <f>_xlfn.IFNA(IF(IFERROR(FIND("Part &amp; Part",B111),-10)&gt;0,"PP",IF(OR(LEFT(B111,25)="Residential Interest Only",INDEX(Producer!$P:$P,MATCH($D111,Producer!$A:$A,0))="IO",INDEX(Producer!$P:$P,MATCH($D111,Producer!$A:$A,0))="Retirement Interest Only"),"IO",IF($C111="BuyToLet","CI, IO","CI"))),"")</f>
        <v/>
      </c>
      <c r="BM111" s="152" t="str">
        <f>_xlfn.IFNA(IF(BL111="IO",100%,IF(AND(INDEX(Producer!$P:$P,MATCH($D111,Producer!$A:$A,0))="Residential Interest Only Part &amp; Part",BK111=75),80%,IF(C111="BuyToLet",100%,IF(BL111="Interest Only",100%,IF(AND(INDEX(Producer!$P:$P,MATCH($D111,Producer!$A:$A,0))="Residential Interest Only Part &amp; Part",BK111=60),100%,""))))),"")</f>
        <v/>
      </c>
      <c r="BN111" s="218" t="str">
        <f>_xlfn.IFNA(IF(VALUE(INDEX(Producer!$H:$H,MATCH($D111,Producer!$A:$A,0)))=0,"",VALUE(INDEX(Producer!$H:$H,MATCH($D111,Producer!$A:$A,0)))),"")</f>
        <v/>
      </c>
      <c r="BO111" s="153"/>
      <c r="BP111" s="153"/>
      <c r="BQ111" s="219" t="str">
        <f t="shared" si="38"/>
        <v/>
      </c>
      <c r="BR111" s="146"/>
      <c r="BS111" s="146"/>
      <c r="BT111" s="146"/>
      <c r="BU111" s="146"/>
      <c r="BV111" s="219" t="str">
        <f t="shared" si="39"/>
        <v/>
      </c>
      <c r="BW111" s="146"/>
      <c r="BX111" s="146"/>
      <c r="BY111" s="146" t="str">
        <f t="shared" si="40"/>
        <v/>
      </c>
      <c r="BZ111" s="146" t="str">
        <f t="shared" si="41"/>
        <v/>
      </c>
      <c r="CA111" s="146" t="str">
        <f t="shared" si="42"/>
        <v/>
      </c>
      <c r="CB111" s="146" t="str">
        <f t="shared" si="43"/>
        <v/>
      </c>
      <c r="CC111" s="146" t="str">
        <f>_xlfn.IFNA(IF(INDEX(Producer!$P:$P,MATCH($D111,Producer!$A:$A,0))="Help to Buy","Only available","No"),"")</f>
        <v/>
      </c>
      <c r="CD111" s="146" t="str">
        <f>_xlfn.IFNA(IF(INDEX(Producer!$P:$P,MATCH($D111,Producer!$A:$A,0))="Shared Ownership","Only available","No"),"")</f>
        <v/>
      </c>
      <c r="CE111" s="146" t="str">
        <f>_xlfn.IFNA(IF(INDEX(Producer!$P:$P,MATCH($D111,Producer!$A:$A,0))="Right to Buy","Only available","No"),"")</f>
        <v/>
      </c>
      <c r="CF111" s="146" t="str">
        <f t="shared" si="44"/>
        <v/>
      </c>
      <c r="CG111" s="146" t="str">
        <f>_xlfn.IFNA(IF(INDEX(Producer!$P:$P,MATCH($D111,Producer!$A:$A,0))="Retirement Interest Only","Only available","No"),"")</f>
        <v/>
      </c>
      <c r="CH111" s="146" t="str">
        <f t="shared" si="45"/>
        <v/>
      </c>
      <c r="CI111" s="146" t="str">
        <f>_xlfn.IFNA(IF(INDEX(Producer!$P:$P,MATCH($D111,Producer!$A:$A,0))="Intermediary Holiday Let","Only available","No"),"")</f>
        <v/>
      </c>
      <c r="CJ111" s="146" t="str">
        <f t="shared" si="46"/>
        <v/>
      </c>
      <c r="CK111" s="146" t="str">
        <f>_xlfn.IFNA(IF(OR(INDEX(Producer!$P:$P,MATCH($D111,Producer!$A:$A,0))="Intermediary Small HMO",INDEX(Producer!$P:$P,MATCH($D111,Producer!$A:$A,0))="Intermediary Large HMO"),"Only available","No"),"")</f>
        <v/>
      </c>
      <c r="CL111" s="146" t="str">
        <f t="shared" si="47"/>
        <v/>
      </c>
      <c r="CM111" s="146" t="str">
        <f t="shared" si="48"/>
        <v/>
      </c>
      <c r="CN111" s="146" t="str">
        <f t="shared" si="49"/>
        <v/>
      </c>
      <c r="CO111" s="146" t="str">
        <f t="shared" si="50"/>
        <v/>
      </c>
      <c r="CP111" s="146" t="str">
        <f t="shared" si="51"/>
        <v/>
      </c>
      <c r="CQ111" s="146" t="str">
        <f t="shared" si="52"/>
        <v/>
      </c>
      <c r="CR111" s="146" t="str">
        <f t="shared" si="53"/>
        <v/>
      </c>
      <c r="CS111" s="146" t="str">
        <f t="shared" si="54"/>
        <v/>
      </c>
      <c r="CT111" s="146" t="str">
        <f t="shared" si="55"/>
        <v/>
      </c>
      <c r="CU111" s="146"/>
    </row>
    <row r="112" spans="1:99" ht="16.399999999999999" customHeight="1" x14ac:dyDescent="0.35">
      <c r="A112" s="145" t="str">
        <f t="shared" si="28"/>
        <v/>
      </c>
      <c r="B112" s="145" t="str">
        <f>_xlfn.IFNA(_xlfn.CONCAT(INDEX(Producer!$P:$P,MATCH($D112,Producer!$A:$A,0))," ",IF(INDEX(Producer!$N:$N,MATCH($D112,Producer!$A:$A,0))="Yes","Green ",""),IF(AND(INDEX(Producer!$L:$L,MATCH($D112,Producer!$A:$A,0))="No",INDEX(Producer!$C:$C,MATCH($D112,Producer!$A:$A,0))="Fixed"),"Flexit ",""),INDEX(Producer!$B:$B,MATCH($D112,Producer!$A:$A,0))," Year ",INDEX(Producer!$C:$C,MATCH($D112,Producer!$A:$A,0))," ",VALUE(INDEX(Producer!$E:$E,MATCH($D112,Producer!$A:$A,0)))*100,"% LTV",IF(INDEX(Producer!$N:$N,MATCH($D112,Producer!$A:$A,0))="Yes"," (EPC A-C)","")," - ",IF(INDEX(Producer!$D:$D,MATCH($D112,Producer!$A:$A,0))="DLY","Daily","Annual")),"")</f>
        <v/>
      </c>
      <c r="C112" s="146" t="str">
        <f>_xlfn.IFNA(INDEX(Producer!$Q:$Q,MATCH($D112,Producer!$A:$A,0)),"")</f>
        <v/>
      </c>
      <c r="D112" s="146" t="str">
        <f>IFERROR(VALUE(MID(Producer!$R$2,IF($D111="",1/0,FIND(_xlfn.CONCAT($D110,$D111),Producer!$R$2)+10),5)),"")</f>
        <v/>
      </c>
      <c r="E112" s="146" t="str">
        <f t="shared" si="29"/>
        <v/>
      </c>
      <c r="F112" s="146"/>
      <c r="G112" s="147" t="str">
        <f>_xlfn.IFNA(VALUE(INDEX(Producer!$F:$F,MATCH($D112,Producer!$A:$A,0)))*100,"")</f>
        <v/>
      </c>
      <c r="H112" s="216" t="str">
        <f>_xlfn.IFNA(IFERROR(DATEVALUE(INDEX(Producer!$M:$M,MATCH($D112,Producer!$A:$A,0))),(INDEX(Producer!$M:$M,MATCH($D112,Producer!$A:$A,0)))),"")</f>
        <v/>
      </c>
      <c r="I112" s="217" t="str">
        <f>_xlfn.IFNA(VALUE(INDEX(Producer!$B:$B,MATCH($D112,Producer!$A:$A,0)))*12,"")</f>
        <v/>
      </c>
      <c r="J112" s="146" t="str">
        <f>_xlfn.IFNA(IF(C112="Residential",IF(VALUE(INDEX(Producer!$B:$B,MATCH($D112,Producer!$A:$A,0)))&lt;5,Constants!$C$10,""),IF(VALUE(INDEX(Producer!$B:$B,MATCH($D112,Producer!$A:$A,0)))&lt;5,Constants!$C$11,"")),"")</f>
        <v/>
      </c>
      <c r="K112" s="216" t="str">
        <f>_xlfn.IFNA(IF(($I112)&lt;60,DATE(YEAR(H112)+(5-VALUE(INDEX(Producer!$B:$B,MATCH($D112,Producer!$A:$A,0)))),MONTH(H112),DAY(H112)),""),"")</f>
        <v/>
      </c>
      <c r="L112" s="153" t="str">
        <f t="shared" si="30"/>
        <v/>
      </c>
      <c r="M112" s="146"/>
      <c r="N112" s="148"/>
      <c r="O112" s="148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 t="str">
        <f>IF(D112="","",IF(C112="Residential",Constants!$B$10,Constants!$B$11))</f>
        <v/>
      </c>
      <c r="AL112" s="146" t="str">
        <f t="shared" si="31"/>
        <v/>
      </c>
      <c r="AM112" s="206" t="str">
        <f t="shared" si="32"/>
        <v/>
      </c>
      <c r="AN112" s="146" t="str">
        <f t="shared" si="33"/>
        <v/>
      </c>
      <c r="AO112" s="149" t="str">
        <f t="shared" si="34"/>
        <v/>
      </c>
      <c r="AP112" s="150" t="str">
        <f t="shared" si="35"/>
        <v/>
      </c>
      <c r="AQ112" s="146" t="str">
        <f>IFERROR(_xlfn.IFNA(IF($BA112="No",0,IF(INDEX(Constants!B:B,MATCH(($I112/12),Constants!$A:$A,0))=0,0,INDEX(Constants!B:B,MATCH(($I112/12),Constants!$A:$A,0)))),0),"")</f>
        <v/>
      </c>
      <c r="AR112" s="146" t="str">
        <f>IFERROR(_xlfn.IFNA(IF($BA112="No",0,IF(INDEX(Constants!C:C,MATCH(($I112/12),Constants!$A:$A,0))=0,0,INDEX(Constants!C:C,MATCH(($I112/12),Constants!$A:$A,0)))),0),"")</f>
        <v/>
      </c>
      <c r="AS112" s="146" t="str">
        <f>IFERROR(_xlfn.IFNA(IF($BA112="No",0,IF(INDEX(Constants!D:D,MATCH(($I112/12),Constants!$A:$A,0))=0,0,INDEX(Constants!D:D,MATCH(($I112/12),Constants!$A:$A,0)))),0),"")</f>
        <v/>
      </c>
      <c r="AT112" s="146" t="str">
        <f>IFERROR(_xlfn.IFNA(IF($BA112="No",0,IF(INDEX(Constants!E:E,MATCH(($I112/12),Constants!$A:$A,0))=0,0,INDEX(Constants!E:E,MATCH(($I112/12),Constants!$A:$A,0)))),0),"")</f>
        <v/>
      </c>
      <c r="AU112" s="146" t="str">
        <f>IFERROR(_xlfn.IFNA(IF($BA112="No",0,IF(INDEX(Constants!F:F,MATCH(($I112/12),Constants!$A:$A,0))=0,0,INDEX(Constants!F:F,MATCH(($I112/12),Constants!$A:$A,0)))),0),"")</f>
        <v/>
      </c>
      <c r="AV112" s="146" t="str">
        <f>IFERROR(_xlfn.IFNA(IF($BA112="No",0,IF(INDEX(Constants!G:G,MATCH(($I112/12),Constants!$A:$A,0))=0,0,INDEX(Constants!G:G,MATCH(($I112/12),Constants!$A:$A,0)))),0),"")</f>
        <v/>
      </c>
      <c r="AW112" s="146" t="str">
        <f>IFERROR(_xlfn.IFNA(IF($BA112="No",0,IF(INDEX(Constants!H:H,MATCH(($I112/12),Constants!$A:$A,0))=0,0,INDEX(Constants!H:H,MATCH(($I112/12),Constants!$A:$A,0)))),0),"")</f>
        <v/>
      </c>
      <c r="AX112" s="146" t="str">
        <f>IFERROR(_xlfn.IFNA(IF($BA112="No",0,IF(INDEX(Constants!I:I,MATCH(($I112/12),Constants!$A:$A,0))=0,0,INDEX(Constants!I:I,MATCH(($I112/12),Constants!$A:$A,0)))),0),"")</f>
        <v/>
      </c>
      <c r="AY112" s="146" t="str">
        <f>IFERROR(_xlfn.IFNA(IF($BA112="No",0,IF(INDEX(Constants!J:J,MATCH(($I112/12),Constants!$A:$A,0))=0,0,INDEX(Constants!J:J,MATCH(($I112/12),Constants!$A:$A,0)))),0),"")</f>
        <v/>
      </c>
      <c r="AZ112" s="146" t="str">
        <f>IFERROR(_xlfn.IFNA(IF($BA112="No",0,IF(INDEX(Constants!K:K,MATCH(($I112/12),Constants!$A:$A,0))=0,0,INDEX(Constants!K:K,MATCH(($I112/12),Constants!$A:$A,0)))),0),"")</f>
        <v/>
      </c>
      <c r="BA112" s="147" t="str">
        <f>_xlfn.IFNA(INDEX(Producer!$L:$L,MATCH($D112,Producer!$A:$A,0)),"")</f>
        <v/>
      </c>
      <c r="BB112" s="146" t="str">
        <f>IFERROR(IF(AQ112=0,"",IF(($I112/12)=15,_xlfn.CONCAT(Constants!$N$7,TEXT(DATE(YEAR(H112)-(($I112/12)-3),MONTH(H112),DAY(H112)),"dd/mm/yyyy"),", ",Constants!$P$7,TEXT(DATE(YEAR(H112)-(($I112/12)-8),MONTH(H112),DAY(H112)),"dd/mm/yyyy"),", ",Constants!$T$7,TEXT(DATE(YEAR(H112)-(($I112/12)-11),MONTH(H112),DAY(H112)),"dd/mm/yyyy"),", ",Constants!$V$7,TEXT(DATE(YEAR(H112)-(($I112/12)-13),MONTH(H112),DAY(H112)),"dd/mm/yyyy"),", ",Constants!$W$7,TEXT($H112,"dd/mm/yyyy")),IF(($I112/12)=10,_xlfn.CONCAT(Constants!$N$6,TEXT(DATE(YEAR(H112)-(($I112/12)-2),MONTH(H112),DAY(H112)),"dd/mm/yyyy"),", ",Constants!$P$6,TEXT(DATE(YEAR(H112)-(($I112/12)-6),MONTH(H112),DAY(H112)),"dd/mm/yyyy"),", ",Constants!$T$6,TEXT(DATE(YEAR(H112)-(($I112/12)-8),MONTH(H112),DAY(H112)),"dd/mm/yyyy"),", ",Constants!$V$6,TEXT(DATE(YEAR(H112)-(($I112/12)-9),MONTH(H112),DAY(H112)),"dd/mm/yyyy"),", ",Constants!$W$6,TEXT($H112,"dd/mm/yyyy")),IF(($I112/12)=5,_xlfn.CONCAT(Constants!$N$5,TEXT(DATE(YEAR(H112)-(($I112/12)-1),MONTH(H112),DAY(H112)),"dd/mm/yyyy"),", ",Constants!$O$5,TEXT(DATE(YEAR(H112)-(($I112/12)-2),MONTH(H112),DAY(H112)),"dd/mm/yyyy"),", ",Constants!$P$5,TEXT(DATE(YEAR(H112)-(($I112/12)-3),MONTH(H112),DAY(H112)),"dd/mm/yyyy"),", ",Constants!$Q$5,TEXT(DATE(YEAR(H112)-(($I112/12)-4),MONTH(H112),DAY(H112)),"dd/mm/yyyy"),", ",Constants!$R$5,TEXT($H112,"dd/mm/yyyy")),IF(($I112/12)=3,_xlfn.CONCAT(Constants!$N$4,TEXT(DATE(YEAR(H112)-(($I112/12)-1),MONTH(H112),DAY(H112)),"dd/mm/yyyy"),", ",Constants!$O$4,TEXT(DATE(YEAR(H112)-(($I112/12)-2),MONTH(H112),DAY(H112)),"dd/mm/yyyy"),", ",Constants!$P$4,TEXT($H112,"dd/mm/yyyy")),IF(($I112/12)=2,_xlfn.CONCAT(Constants!$N$3,TEXT(DATE(YEAR(H112)-(($I112/12)-1),MONTH(H112),DAY(H112)),"dd/mm/yyyy"),", ",Constants!$O$3,TEXT($H112,"dd/mm/yyyy")),IF(($I112/12)=1,_xlfn.CONCAT(Constants!$N$2,TEXT($H112,"dd/mm/yyyy")),"Update Constants"))))))),"")</f>
        <v/>
      </c>
      <c r="BC112" s="147" t="str">
        <f>_xlfn.IFNA(VALUE(INDEX(Producer!$K:$K,MATCH($D112,Producer!$A:$A,0))),"")</f>
        <v/>
      </c>
      <c r="BD112" s="147" t="str">
        <f>_xlfn.IFNA(INDEX(Producer!$I:$I,MATCH($D112,Producer!$A:$A,0)),"")</f>
        <v/>
      </c>
      <c r="BE112" s="147" t="str">
        <f t="shared" si="36"/>
        <v/>
      </c>
      <c r="BF112" s="147"/>
      <c r="BG112" s="147"/>
      <c r="BH112" s="151" t="str">
        <f>_xlfn.IFNA(INDEX(Constants!$B:$B,MATCH(BC112,Constants!A:A,0)),"")</f>
        <v/>
      </c>
      <c r="BI112" s="147" t="str">
        <f>IF(LEFT(B112,15)="Limited Company",Constants!$D$16,IFERROR(_xlfn.IFNA(IF(C112="Residential",IF(BK112&lt;75,INDEX(Constants!$B:$B,MATCH(VALUE(60)/100,Constants!$A:$A,0)),INDEX(Constants!$B:$B,MATCH(VALUE(BK112)/100,Constants!$A:$A,0))),IF(BK112&lt;60,INDEX(Constants!$C:$C,MATCH(VALUE(60)/100,Constants!$A:$A,0)),INDEX(Constants!$C:$C,MATCH(VALUE(BK112)/100,Constants!$A:$A,0)))),""),""))</f>
        <v/>
      </c>
      <c r="BJ112" s="147" t="str">
        <f t="shared" si="37"/>
        <v/>
      </c>
      <c r="BK112" s="147" t="str">
        <f>_xlfn.IFNA(VALUE(INDEX(Producer!$E:$E,MATCH($D112,Producer!$A:$A,0)))*100,"")</f>
        <v/>
      </c>
      <c r="BL112" s="146" t="str">
        <f>_xlfn.IFNA(IF(IFERROR(FIND("Part &amp; Part",B112),-10)&gt;0,"PP",IF(OR(LEFT(B112,25)="Residential Interest Only",INDEX(Producer!$P:$P,MATCH($D112,Producer!$A:$A,0))="IO",INDEX(Producer!$P:$P,MATCH($D112,Producer!$A:$A,0))="Retirement Interest Only"),"IO",IF($C112="BuyToLet","CI, IO","CI"))),"")</f>
        <v/>
      </c>
      <c r="BM112" s="152" t="str">
        <f>_xlfn.IFNA(IF(BL112="IO",100%,IF(AND(INDEX(Producer!$P:$P,MATCH($D112,Producer!$A:$A,0))="Residential Interest Only Part &amp; Part",BK112=75),80%,IF(C112="BuyToLet",100%,IF(BL112="Interest Only",100%,IF(AND(INDEX(Producer!$P:$P,MATCH($D112,Producer!$A:$A,0))="Residential Interest Only Part &amp; Part",BK112=60),100%,""))))),"")</f>
        <v/>
      </c>
      <c r="BN112" s="218" t="str">
        <f>_xlfn.IFNA(IF(VALUE(INDEX(Producer!$H:$H,MATCH($D112,Producer!$A:$A,0)))=0,"",VALUE(INDEX(Producer!$H:$H,MATCH($D112,Producer!$A:$A,0)))),"")</f>
        <v/>
      </c>
      <c r="BO112" s="153"/>
      <c r="BP112" s="153"/>
      <c r="BQ112" s="219" t="str">
        <f t="shared" si="38"/>
        <v/>
      </c>
      <c r="BR112" s="146"/>
      <c r="BS112" s="146"/>
      <c r="BT112" s="146"/>
      <c r="BU112" s="146"/>
      <c r="BV112" s="219" t="str">
        <f t="shared" si="39"/>
        <v/>
      </c>
      <c r="BW112" s="146"/>
      <c r="BX112" s="146"/>
      <c r="BY112" s="146" t="str">
        <f t="shared" si="40"/>
        <v/>
      </c>
      <c r="BZ112" s="146" t="str">
        <f t="shared" si="41"/>
        <v/>
      </c>
      <c r="CA112" s="146" t="str">
        <f t="shared" si="42"/>
        <v/>
      </c>
      <c r="CB112" s="146" t="str">
        <f t="shared" si="43"/>
        <v/>
      </c>
      <c r="CC112" s="146" t="str">
        <f>_xlfn.IFNA(IF(INDEX(Producer!$P:$P,MATCH($D112,Producer!$A:$A,0))="Help to Buy","Only available","No"),"")</f>
        <v/>
      </c>
      <c r="CD112" s="146" t="str">
        <f>_xlfn.IFNA(IF(INDEX(Producer!$P:$P,MATCH($D112,Producer!$A:$A,0))="Shared Ownership","Only available","No"),"")</f>
        <v/>
      </c>
      <c r="CE112" s="146" t="str">
        <f>_xlfn.IFNA(IF(INDEX(Producer!$P:$P,MATCH($D112,Producer!$A:$A,0))="Right to Buy","Only available","No"),"")</f>
        <v/>
      </c>
      <c r="CF112" s="146" t="str">
        <f t="shared" si="44"/>
        <v/>
      </c>
      <c r="CG112" s="146" t="str">
        <f>_xlfn.IFNA(IF(INDEX(Producer!$P:$P,MATCH($D112,Producer!$A:$A,0))="Retirement Interest Only","Only available","No"),"")</f>
        <v/>
      </c>
      <c r="CH112" s="146" t="str">
        <f t="shared" si="45"/>
        <v/>
      </c>
      <c r="CI112" s="146" t="str">
        <f>_xlfn.IFNA(IF(INDEX(Producer!$P:$P,MATCH($D112,Producer!$A:$A,0))="Intermediary Holiday Let","Only available","No"),"")</f>
        <v/>
      </c>
      <c r="CJ112" s="146" t="str">
        <f t="shared" si="46"/>
        <v/>
      </c>
      <c r="CK112" s="146" t="str">
        <f>_xlfn.IFNA(IF(OR(INDEX(Producer!$P:$P,MATCH($D112,Producer!$A:$A,0))="Intermediary Small HMO",INDEX(Producer!$P:$P,MATCH($D112,Producer!$A:$A,0))="Intermediary Large HMO"),"Only available","No"),"")</f>
        <v/>
      </c>
      <c r="CL112" s="146" t="str">
        <f t="shared" si="47"/>
        <v/>
      </c>
      <c r="CM112" s="146" t="str">
        <f t="shared" si="48"/>
        <v/>
      </c>
      <c r="CN112" s="146" t="str">
        <f t="shared" si="49"/>
        <v/>
      </c>
      <c r="CO112" s="146" t="str">
        <f t="shared" si="50"/>
        <v/>
      </c>
      <c r="CP112" s="146" t="str">
        <f t="shared" si="51"/>
        <v/>
      </c>
      <c r="CQ112" s="146" t="str">
        <f t="shared" si="52"/>
        <v/>
      </c>
      <c r="CR112" s="146" t="str">
        <f t="shared" si="53"/>
        <v/>
      </c>
      <c r="CS112" s="146" t="str">
        <f t="shared" si="54"/>
        <v/>
      </c>
      <c r="CT112" s="146" t="str">
        <f t="shared" si="55"/>
        <v/>
      </c>
      <c r="CU112" s="146"/>
    </row>
    <row r="113" spans="1:99" ht="16.399999999999999" customHeight="1" x14ac:dyDescent="0.35">
      <c r="A113" s="145" t="str">
        <f t="shared" si="28"/>
        <v/>
      </c>
      <c r="B113" s="145" t="str">
        <f>_xlfn.IFNA(_xlfn.CONCAT(INDEX(Producer!$P:$P,MATCH($D113,Producer!$A:$A,0))," ",IF(INDEX(Producer!$N:$N,MATCH($D113,Producer!$A:$A,0))="Yes","Green ",""),IF(AND(INDEX(Producer!$L:$L,MATCH($D113,Producer!$A:$A,0))="No",INDEX(Producer!$C:$C,MATCH($D113,Producer!$A:$A,0))="Fixed"),"Flexit ",""),INDEX(Producer!$B:$B,MATCH($D113,Producer!$A:$A,0))," Year ",INDEX(Producer!$C:$C,MATCH($D113,Producer!$A:$A,0))," ",VALUE(INDEX(Producer!$E:$E,MATCH($D113,Producer!$A:$A,0)))*100,"% LTV",IF(INDEX(Producer!$N:$N,MATCH($D113,Producer!$A:$A,0))="Yes"," (EPC A-C)","")," - ",IF(INDEX(Producer!$D:$D,MATCH($D113,Producer!$A:$A,0))="DLY","Daily","Annual")),"")</f>
        <v/>
      </c>
      <c r="C113" s="146" t="str">
        <f>_xlfn.IFNA(INDEX(Producer!$Q:$Q,MATCH($D113,Producer!$A:$A,0)),"")</f>
        <v/>
      </c>
      <c r="D113" s="146" t="str">
        <f>IFERROR(VALUE(MID(Producer!$R$2,IF($D112="",1/0,FIND(_xlfn.CONCAT($D111,$D112),Producer!$R$2)+10),5)),"")</f>
        <v/>
      </c>
      <c r="E113" s="146" t="str">
        <f t="shared" si="29"/>
        <v/>
      </c>
      <c r="F113" s="146"/>
      <c r="G113" s="147" t="str">
        <f>_xlfn.IFNA(VALUE(INDEX(Producer!$F:$F,MATCH($D113,Producer!$A:$A,0)))*100,"")</f>
        <v/>
      </c>
      <c r="H113" s="216" t="str">
        <f>_xlfn.IFNA(IFERROR(DATEVALUE(INDEX(Producer!$M:$M,MATCH($D113,Producer!$A:$A,0))),(INDEX(Producer!$M:$M,MATCH($D113,Producer!$A:$A,0)))),"")</f>
        <v/>
      </c>
      <c r="I113" s="217" t="str">
        <f>_xlfn.IFNA(VALUE(INDEX(Producer!$B:$B,MATCH($D113,Producer!$A:$A,0)))*12,"")</f>
        <v/>
      </c>
      <c r="J113" s="146" t="str">
        <f>_xlfn.IFNA(IF(C113="Residential",IF(VALUE(INDEX(Producer!$B:$B,MATCH($D113,Producer!$A:$A,0)))&lt;5,Constants!$C$10,""),IF(VALUE(INDEX(Producer!$B:$B,MATCH($D113,Producer!$A:$A,0)))&lt;5,Constants!$C$11,"")),"")</f>
        <v/>
      </c>
      <c r="K113" s="216" t="str">
        <f>_xlfn.IFNA(IF(($I113)&lt;60,DATE(YEAR(H113)+(5-VALUE(INDEX(Producer!$B:$B,MATCH($D113,Producer!$A:$A,0)))),MONTH(H113),DAY(H113)),""),"")</f>
        <v/>
      </c>
      <c r="L113" s="153" t="str">
        <f t="shared" si="30"/>
        <v/>
      </c>
      <c r="M113" s="146"/>
      <c r="N113" s="148"/>
      <c r="O113" s="148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 t="str">
        <f>IF(D113="","",IF(C113="Residential",Constants!$B$10,Constants!$B$11))</f>
        <v/>
      </c>
      <c r="AL113" s="146" t="str">
        <f t="shared" si="31"/>
        <v/>
      </c>
      <c r="AM113" s="206" t="str">
        <f t="shared" si="32"/>
        <v/>
      </c>
      <c r="AN113" s="146" t="str">
        <f t="shared" si="33"/>
        <v/>
      </c>
      <c r="AO113" s="149" t="str">
        <f t="shared" si="34"/>
        <v/>
      </c>
      <c r="AP113" s="150" t="str">
        <f t="shared" si="35"/>
        <v/>
      </c>
      <c r="AQ113" s="146" t="str">
        <f>IFERROR(_xlfn.IFNA(IF($BA113="No",0,IF(INDEX(Constants!B:B,MATCH(($I113/12),Constants!$A:$A,0))=0,0,INDEX(Constants!B:B,MATCH(($I113/12),Constants!$A:$A,0)))),0),"")</f>
        <v/>
      </c>
      <c r="AR113" s="146" t="str">
        <f>IFERROR(_xlfn.IFNA(IF($BA113="No",0,IF(INDEX(Constants!C:C,MATCH(($I113/12),Constants!$A:$A,0))=0,0,INDEX(Constants!C:C,MATCH(($I113/12),Constants!$A:$A,0)))),0),"")</f>
        <v/>
      </c>
      <c r="AS113" s="146" t="str">
        <f>IFERROR(_xlfn.IFNA(IF($BA113="No",0,IF(INDEX(Constants!D:D,MATCH(($I113/12),Constants!$A:$A,0))=0,0,INDEX(Constants!D:D,MATCH(($I113/12),Constants!$A:$A,0)))),0),"")</f>
        <v/>
      </c>
      <c r="AT113" s="146" t="str">
        <f>IFERROR(_xlfn.IFNA(IF($BA113="No",0,IF(INDEX(Constants!E:E,MATCH(($I113/12),Constants!$A:$A,0))=0,0,INDEX(Constants!E:E,MATCH(($I113/12),Constants!$A:$A,0)))),0),"")</f>
        <v/>
      </c>
      <c r="AU113" s="146" t="str">
        <f>IFERROR(_xlfn.IFNA(IF($BA113="No",0,IF(INDEX(Constants!F:F,MATCH(($I113/12),Constants!$A:$A,0))=0,0,INDEX(Constants!F:F,MATCH(($I113/12),Constants!$A:$A,0)))),0),"")</f>
        <v/>
      </c>
      <c r="AV113" s="146" t="str">
        <f>IFERROR(_xlfn.IFNA(IF($BA113="No",0,IF(INDEX(Constants!G:G,MATCH(($I113/12),Constants!$A:$A,0))=0,0,INDEX(Constants!G:G,MATCH(($I113/12),Constants!$A:$A,0)))),0),"")</f>
        <v/>
      </c>
      <c r="AW113" s="146" t="str">
        <f>IFERROR(_xlfn.IFNA(IF($BA113="No",0,IF(INDEX(Constants!H:H,MATCH(($I113/12),Constants!$A:$A,0))=0,0,INDEX(Constants!H:H,MATCH(($I113/12),Constants!$A:$A,0)))),0),"")</f>
        <v/>
      </c>
      <c r="AX113" s="146" t="str">
        <f>IFERROR(_xlfn.IFNA(IF($BA113="No",0,IF(INDEX(Constants!I:I,MATCH(($I113/12),Constants!$A:$A,0))=0,0,INDEX(Constants!I:I,MATCH(($I113/12),Constants!$A:$A,0)))),0),"")</f>
        <v/>
      </c>
      <c r="AY113" s="146" t="str">
        <f>IFERROR(_xlfn.IFNA(IF($BA113="No",0,IF(INDEX(Constants!J:J,MATCH(($I113/12),Constants!$A:$A,0))=0,0,INDEX(Constants!J:J,MATCH(($I113/12),Constants!$A:$A,0)))),0),"")</f>
        <v/>
      </c>
      <c r="AZ113" s="146" t="str">
        <f>IFERROR(_xlfn.IFNA(IF($BA113="No",0,IF(INDEX(Constants!K:K,MATCH(($I113/12),Constants!$A:$A,0))=0,0,INDEX(Constants!K:K,MATCH(($I113/12),Constants!$A:$A,0)))),0),"")</f>
        <v/>
      </c>
      <c r="BA113" s="147" t="str">
        <f>_xlfn.IFNA(INDEX(Producer!$L:$L,MATCH($D113,Producer!$A:$A,0)),"")</f>
        <v/>
      </c>
      <c r="BB113" s="146" t="str">
        <f>IFERROR(IF(AQ113=0,"",IF(($I113/12)=15,_xlfn.CONCAT(Constants!$N$7,TEXT(DATE(YEAR(H113)-(($I113/12)-3),MONTH(H113),DAY(H113)),"dd/mm/yyyy"),", ",Constants!$P$7,TEXT(DATE(YEAR(H113)-(($I113/12)-8),MONTH(H113),DAY(H113)),"dd/mm/yyyy"),", ",Constants!$T$7,TEXT(DATE(YEAR(H113)-(($I113/12)-11),MONTH(H113),DAY(H113)),"dd/mm/yyyy"),", ",Constants!$V$7,TEXT(DATE(YEAR(H113)-(($I113/12)-13),MONTH(H113),DAY(H113)),"dd/mm/yyyy"),", ",Constants!$W$7,TEXT($H113,"dd/mm/yyyy")),IF(($I113/12)=10,_xlfn.CONCAT(Constants!$N$6,TEXT(DATE(YEAR(H113)-(($I113/12)-2),MONTH(H113),DAY(H113)),"dd/mm/yyyy"),", ",Constants!$P$6,TEXT(DATE(YEAR(H113)-(($I113/12)-6),MONTH(H113),DAY(H113)),"dd/mm/yyyy"),", ",Constants!$T$6,TEXT(DATE(YEAR(H113)-(($I113/12)-8),MONTH(H113),DAY(H113)),"dd/mm/yyyy"),", ",Constants!$V$6,TEXT(DATE(YEAR(H113)-(($I113/12)-9),MONTH(H113),DAY(H113)),"dd/mm/yyyy"),", ",Constants!$W$6,TEXT($H113,"dd/mm/yyyy")),IF(($I113/12)=5,_xlfn.CONCAT(Constants!$N$5,TEXT(DATE(YEAR(H113)-(($I113/12)-1),MONTH(H113),DAY(H113)),"dd/mm/yyyy"),", ",Constants!$O$5,TEXT(DATE(YEAR(H113)-(($I113/12)-2),MONTH(H113),DAY(H113)),"dd/mm/yyyy"),", ",Constants!$P$5,TEXT(DATE(YEAR(H113)-(($I113/12)-3),MONTH(H113),DAY(H113)),"dd/mm/yyyy"),", ",Constants!$Q$5,TEXT(DATE(YEAR(H113)-(($I113/12)-4),MONTH(H113),DAY(H113)),"dd/mm/yyyy"),", ",Constants!$R$5,TEXT($H113,"dd/mm/yyyy")),IF(($I113/12)=3,_xlfn.CONCAT(Constants!$N$4,TEXT(DATE(YEAR(H113)-(($I113/12)-1),MONTH(H113),DAY(H113)),"dd/mm/yyyy"),", ",Constants!$O$4,TEXT(DATE(YEAR(H113)-(($I113/12)-2),MONTH(H113),DAY(H113)),"dd/mm/yyyy"),", ",Constants!$P$4,TEXT($H113,"dd/mm/yyyy")),IF(($I113/12)=2,_xlfn.CONCAT(Constants!$N$3,TEXT(DATE(YEAR(H113)-(($I113/12)-1),MONTH(H113),DAY(H113)),"dd/mm/yyyy"),", ",Constants!$O$3,TEXT($H113,"dd/mm/yyyy")),IF(($I113/12)=1,_xlfn.CONCAT(Constants!$N$2,TEXT($H113,"dd/mm/yyyy")),"Update Constants"))))))),"")</f>
        <v/>
      </c>
      <c r="BC113" s="147" t="str">
        <f>_xlfn.IFNA(VALUE(INDEX(Producer!$K:$K,MATCH($D113,Producer!$A:$A,0))),"")</f>
        <v/>
      </c>
      <c r="BD113" s="147" t="str">
        <f>_xlfn.IFNA(INDEX(Producer!$I:$I,MATCH($D113,Producer!$A:$A,0)),"")</f>
        <v/>
      </c>
      <c r="BE113" s="147" t="str">
        <f t="shared" si="36"/>
        <v/>
      </c>
      <c r="BF113" s="147"/>
      <c r="BG113" s="147"/>
      <c r="BH113" s="151" t="str">
        <f>_xlfn.IFNA(INDEX(Constants!$B:$B,MATCH(BC113,Constants!A:A,0)),"")</f>
        <v/>
      </c>
      <c r="BI113" s="147" t="str">
        <f>IF(LEFT(B113,15)="Limited Company",Constants!$D$16,IFERROR(_xlfn.IFNA(IF(C113="Residential",IF(BK113&lt;75,INDEX(Constants!$B:$B,MATCH(VALUE(60)/100,Constants!$A:$A,0)),INDEX(Constants!$B:$B,MATCH(VALUE(BK113)/100,Constants!$A:$A,0))),IF(BK113&lt;60,INDEX(Constants!$C:$C,MATCH(VALUE(60)/100,Constants!$A:$A,0)),INDEX(Constants!$C:$C,MATCH(VALUE(BK113)/100,Constants!$A:$A,0)))),""),""))</f>
        <v/>
      </c>
      <c r="BJ113" s="147" t="str">
        <f t="shared" si="37"/>
        <v/>
      </c>
      <c r="BK113" s="147" t="str">
        <f>_xlfn.IFNA(VALUE(INDEX(Producer!$E:$E,MATCH($D113,Producer!$A:$A,0)))*100,"")</f>
        <v/>
      </c>
      <c r="BL113" s="146" t="str">
        <f>_xlfn.IFNA(IF(IFERROR(FIND("Part &amp; Part",B113),-10)&gt;0,"PP",IF(OR(LEFT(B113,25)="Residential Interest Only",INDEX(Producer!$P:$P,MATCH($D113,Producer!$A:$A,0))="IO",INDEX(Producer!$P:$P,MATCH($D113,Producer!$A:$A,0))="Retirement Interest Only"),"IO",IF($C113="BuyToLet","CI, IO","CI"))),"")</f>
        <v/>
      </c>
      <c r="BM113" s="152" t="str">
        <f>_xlfn.IFNA(IF(BL113="IO",100%,IF(AND(INDEX(Producer!$P:$P,MATCH($D113,Producer!$A:$A,0))="Residential Interest Only Part &amp; Part",BK113=75),80%,IF(C113="BuyToLet",100%,IF(BL113="Interest Only",100%,IF(AND(INDEX(Producer!$P:$P,MATCH($D113,Producer!$A:$A,0))="Residential Interest Only Part &amp; Part",BK113=60),100%,""))))),"")</f>
        <v/>
      </c>
      <c r="BN113" s="218" t="str">
        <f>_xlfn.IFNA(IF(VALUE(INDEX(Producer!$H:$H,MATCH($D113,Producer!$A:$A,0)))=0,"",VALUE(INDEX(Producer!$H:$H,MATCH($D113,Producer!$A:$A,0)))),"")</f>
        <v/>
      </c>
      <c r="BO113" s="153"/>
      <c r="BP113" s="153"/>
      <c r="BQ113" s="219" t="str">
        <f t="shared" si="38"/>
        <v/>
      </c>
      <c r="BR113" s="146"/>
      <c r="BS113" s="146"/>
      <c r="BT113" s="146"/>
      <c r="BU113" s="146"/>
      <c r="BV113" s="219" t="str">
        <f t="shared" si="39"/>
        <v/>
      </c>
      <c r="BW113" s="146"/>
      <c r="BX113" s="146"/>
      <c r="BY113" s="146" t="str">
        <f t="shared" si="40"/>
        <v/>
      </c>
      <c r="BZ113" s="146" t="str">
        <f t="shared" si="41"/>
        <v/>
      </c>
      <c r="CA113" s="146" t="str">
        <f t="shared" si="42"/>
        <v/>
      </c>
      <c r="CB113" s="146" t="str">
        <f t="shared" si="43"/>
        <v/>
      </c>
      <c r="CC113" s="146" t="str">
        <f>_xlfn.IFNA(IF(INDEX(Producer!$P:$P,MATCH($D113,Producer!$A:$A,0))="Help to Buy","Only available","No"),"")</f>
        <v/>
      </c>
      <c r="CD113" s="146" t="str">
        <f>_xlfn.IFNA(IF(INDEX(Producer!$P:$P,MATCH($D113,Producer!$A:$A,0))="Shared Ownership","Only available","No"),"")</f>
        <v/>
      </c>
      <c r="CE113" s="146" t="str">
        <f>_xlfn.IFNA(IF(INDEX(Producer!$P:$P,MATCH($D113,Producer!$A:$A,0))="Right to Buy","Only available","No"),"")</f>
        <v/>
      </c>
      <c r="CF113" s="146" t="str">
        <f t="shared" si="44"/>
        <v/>
      </c>
      <c r="CG113" s="146" t="str">
        <f>_xlfn.IFNA(IF(INDEX(Producer!$P:$P,MATCH($D113,Producer!$A:$A,0))="Retirement Interest Only","Only available","No"),"")</f>
        <v/>
      </c>
      <c r="CH113" s="146" t="str">
        <f t="shared" si="45"/>
        <v/>
      </c>
      <c r="CI113" s="146" t="str">
        <f>_xlfn.IFNA(IF(INDEX(Producer!$P:$P,MATCH($D113,Producer!$A:$A,0))="Intermediary Holiday Let","Only available","No"),"")</f>
        <v/>
      </c>
      <c r="CJ113" s="146" t="str">
        <f t="shared" si="46"/>
        <v/>
      </c>
      <c r="CK113" s="146" t="str">
        <f>_xlfn.IFNA(IF(OR(INDEX(Producer!$P:$P,MATCH($D113,Producer!$A:$A,0))="Intermediary Small HMO",INDEX(Producer!$P:$P,MATCH($D113,Producer!$A:$A,0))="Intermediary Large HMO"),"Only available","No"),"")</f>
        <v/>
      </c>
      <c r="CL113" s="146" t="str">
        <f t="shared" si="47"/>
        <v/>
      </c>
      <c r="CM113" s="146" t="str">
        <f t="shared" si="48"/>
        <v/>
      </c>
      <c r="CN113" s="146" t="str">
        <f t="shared" si="49"/>
        <v/>
      </c>
      <c r="CO113" s="146" t="str">
        <f t="shared" si="50"/>
        <v/>
      </c>
      <c r="CP113" s="146" t="str">
        <f t="shared" si="51"/>
        <v/>
      </c>
      <c r="CQ113" s="146" t="str">
        <f t="shared" si="52"/>
        <v/>
      </c>
      <c r="CR113" s="146" t="str">
        <f t="shared" si="53"/>
        <v/>
      </c>
      <c r="CS113" s="146" t="str">
        <f t="shared" si="54"/>
        <v/>
      </c>
      <c r="CT113" s="146" t="str">
        <f t="shared" si="55"/>
        <v/>
      </c>
      <c r="CU113" s="146"/>
    </row>
    <row r="114" spans="1:99" ht="16.399999999999999" customHeight="1" x14ac:dyDescent="0.35">
      <c r="A114" s="145" t="str">
        <f t="shared" si="28"/>
        <v/>
      </c>
      <c r="B114" s="145" t="str">
        <f>_xlfn.IFNA(_xlfn.CONCAT(INDEX(Producer!$P:$P,MATCH($D114,Producer!$A:$A,0))," ",IF(INDEX(Producer!$N:$N,MATCH($D114,Producer!$A:$A,0))="Yes","Green ",""),IF(AND(INDEX(Producer!$L:$L,MATCH($D114,Producer!$A:$A,0))="No",INDEX(Producer!$C:$C,MATCH($D114,Producer!$A:$A,0))="Fixed"),"Flexit ",""),INDEX(Producer!$B:$B,MATCH($D114,Producer!$A:$A,0))," Year ",INDEX(Producer!$C:$C,MATCH($D114,Producer!$A:$A,0))," ",VALUE(INDEX(Producer!$E:$E,MATCH($D114,Producer!$A:$A,0)))*100,"% LTV",IF(INDEX(Producer!$N:$N,MATCH($D114,Producer!$A:$A,0))="Yes"," (EPC A-C)","")," - ",IF(INDEX(Producer!$D:$D,MATCH($D114,Producer!$A:$A,0))="DLY","Daily","Annual")),"")</f>
        <v/>
      </c>
      <c r="C114" s="146" t="str">
        <f>_xlfn.IFNA(INDEX(Producer!$Q:$Q,MATCH($D114,Producer!$A:$A,0)),"")</f>
        <v/>
      </c>
      <c r="D114" s="146" t="str">
        <f>IFERROR(VALUE(MID(Producer!$R$2,IF($D113="",1/0,FIND(_xlfn.CONCAT($D112,$D113),Producer!$R$2)+10),5)),"")</f>
        <v/>
      </c>
      <c r="E114" s="146" t="str">
        <f t="shared" si="29"/>
        <v/>
      </c>
      <c r="F114" s="146"/>
      <c r="G114" s="147" t="str">
        <f>_xlfn.IFNA(VALUE(INDEX(Producer!$F:$F,MATCH($D114,Producer!$A:$A,0)))*100,"")</f>
        <v/>
      </c>
      <c r="H114" s="216" t="str">
        <f>_xlfn.IFNA(IFERROR(DATEVALUE(INDEX(Producer!$M:$M,MATCH($D114,Producer!$A:$A,0))),(INDEX(Producer!$M:$M,MATCH($D114,Producer!$A:$A,0)))),"")</f>
        <v/>
      </c>
      <c r="I114" s="217" t="str">
        <f>_xlfn.IFNA(VALUE(INDEX(Producer!$B:$B,MATCH($D114,Producer!$A:$A,0)))*12,"")</f>
        <v/>
      </c>
      <c r="J114" s="146" t="str">
        <f>_xlfn.IFNA(IF(C114="Residential",IF(VALUE(INDEX(Producer!$B:$B,MATCH($D114,Producer!$A:$A,0)))&lt;5,Constants!$C$10,""),IF(VALUE(INDEX(Producer!$B:$B,MATCH($D114,Producer!$A:$A,0)))&lt;5,Constants!$C$11,"")),"")</f>
        <v/>
      </c>
      <c r="K114" s="216" t="str">
        <f>_xlfn.IFNA(IF(($I114)&lt;60,DATE(YEAR(H114)+(5-VALUE(INDEX(Producer!$B:$B,MATCH($D114,Producer!$A:$A,0)))),MONTH(H114),DAY(H114)),""),"")</f>
        <v/>
      </c>
      <c r="L114" s="153" t="str">
        <f t="shared" si="30"/>
        <v/>
      </c>
      <c r="M114" s="146"/>
      <c r="N114" s="148"/>
      <c r="O114" s="148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 t="str">
        <f>IF(D114="","",IF(C114="Residential",Constants!$B$10,Constants!$B$11))</f>
        <v/>
      </c>
      <c r="AL114" s="146" t="str">
        <f t="shared" si="31"/>
        <v/>
      </c>
      <c r="AM114" s="206" t="str">
        <f t="shared" si="32"/>
        <v/>
      </c>
      <c r="AN114" s="146" t="str">
        <f t="shared" si="33"/>
        <v/>
      </c>
      <c r="AO114" s="149" t="str">
        <f t="shared" si="34"/>
        <v/>
      </c>
      <c r="AP114" s="150" t="str">
        <f t="shared" si="35"/>
        <v/>
      </c>
      <c r="AQ114" s="146" t="str">
        <f>IFERROR(_xlfn.IFNA(IF($BA114="No",0,IF(INDEX(Constants!B:B,MATCH(($I114/12),Constants!$A:$A,0))=0,0,INDEX(Constants!B:B,MATCH(($I114/12),Constants!$A:$A,0)))),0),"")</f>
        <v/>
      </c>
      <c r="AR114" s="146" t="str">
        <f>IFERROR(_xlfn.IFNA(IF($BA114="No",0,IF(INDEX(Constants!C:C,MATCH(($I114/12),Constants!$A:$A,0))=0,0,INDEX(Constants!C:C,MATCH(($I114/12),Constants!$A:$A,0)))),0),"")</f>
        <v/>
      </c>
      <c r="AS114" s="146" t="str">
        <f>IFERROR(_xlfn.IFNA(IF($BA114="No",0,IF(INDEX(Constants!D:D,MATCH(($I114/12),Constants!$A:$A,0))=0,0,INDEX(Constants!D:D,MATCH(($I114/12),Constants!$A:$A,0)))),0),"")</f>
        <v/>
      </c>
      <c r="AT114" s="146" t="str">
        <f>IFERROR(_xlfn.IFNA(IF($BA114="No",0,IF(INDEX(Constants!E:E,MATCH(($I114/12),Constants!$A:$A,0))=0,0,INDEX(Constants!E:E,MATCH(($I114/12),Constants!$A:$A,0)))),0),"")</f>
        <v/>
      </c>
      <c r="AU114" s="146" t="str">
        <f>IFERROR(_xlfn.IFNA(IF($BA114="No",0,IF(INDEX(Constants!F:F,MATCH(($I114/12),Constants!$A:$A,0))=0,0,INDEX(Constants!F:F,MATCH(($I114/12),Constants!$A:$A,0)))),0),"")</f>
        <v/>
      </c>
      <c r="AV114" s="146" t="str">
        <f>IFERROR(_xlfn.IFNA(IF($BA114="No",0,IF(INDEX(Constants!G:G,MATCH(($I114/12),Constants!$A:$A,0))=0,0,INDEX(Constants!G:G,MATCH(($I114/12),Constants!$A:$A,0)))),0),"")</f>
        <v/>
      </c>
      <c r="AW114" s="146" t="str">
        <f>IFERROR(_xlfn.IFNA(IF($BA114="No",0,IF(INDEX(Constants!H:H,MATCH(($I114/12),Constants!$A:$A,0))=0,0,INDEX(Constants!H:H,MATCH(($I114/12),Constants!$A:$A,0)))),0),"")</f>
        <v/>
      </c>
      <c r="AX114" s="146" t="str">
        <f>IFERROR(_xlfn.IFNA(IF($BA114="No",0,IF(INDEX(Constants!I:I,MATCH(($I114/12),Constants!$A:$A,0))=0,0,INDEX(Constants!I:I,MATCH(($I114/12),Constants!$A:$A,0)))),0),"")</f>
        <v/>
      </c>
      <c r="AY114" s="146" t="str">
        <f>IFERROR(_xlfn.IFNA(IF($BA114="No",0,IF(INDEX(Constants!J:J,MATCH(($I114/12),Constants!$A:$A,0))=0,0,INDEX(Constants!J:J,MATCH(($I114/12),Constants!$A:$A,0)))),0),"")</f>
        <v/>
      </c>
      <c r="AZ114" s="146" t="str">
        <f>IFERROR(_xlfn.IFNA(IF($BA114="No",0,IF(INDEX(Constants!K:K,MATCH(($I114/12),Constants!$A:$A,0))=0,0,INDEX(Constants!K:K,MATCH(($I114/12),Constants!$A:$A,0)))),0),"")</f>
        <v/>
      </c>
      <c r="BA114" s="147" t="str">
        <f>_xlfn.IFNA(INDEX(Producer!$L:$L,MATCH($D114,Producer!$A:$A,0)),"")</f>
        <v/>
      </c>
      <c r="BB114" s="146" t="str">
        <f>IFERROR(IF(AQ114=0,"",IF(($I114/12)=15,_xlfn.CONCAT(Constants!$N$7,TEXT(DATE(YEAR(H114)-(($I114/12)-3),MONTH(H114),DAY(H114)),"dd/mm/yyyy"),", ",Constants!$P$7,TEXT(DATE(YEAR(H114)-(($I114/12)-8),MONTH(H114),DAY(H114)),"dd/mm/yyyy"),", ",Constants!$T$7,TEXT(DATE(YEAR(H114)-(($I114/12)-11),MONTH(H114),DAY(H114)),"dd/mm/yyyy"),", ",Constants!$V$7,TEXT(DATE(YEAR(H114)-(($I114/12)-13),MONTH(H114),DAY(H114)),"dd/mm/yyyy"),", ",Constants!$W$7,TEXT($H114,"dd/mm/yyyy")),IF(($I114/12)=10,_xlfn.CONCAT(Constants!$N$6,TEXT(DATE(YEAR(H114)-(($I114/12)-2),MONTH(H114),DAY(H114)),"dd/mm/yyyy"),", ",Constants!$P$6,TEXT(DATE(YEAR(H114)-(($I114/12)-6),MONTH(H114),DAY(H114)),"dd/mm/yyyy"),", ",Constants!$T$6,TEXT(DATE(YEAR(H114)-(($I114/12)-8),MONTH(H114),DAY(H114)),"dd/mm/yyyy"),", ",Constants!$V$6,TEXT(DATE(YEAR(H114)-(($I114/12)-9),MONTH(H114),DAY(H114)),"dd/mm/yyyy"),", ",Constants!$W$6,TEXT($H114,"dd/mm/yyyy")),IF(($I114/12)=5,_xlfn.CONCAT(Constants!$N$5,TEXT(DATE(YEAR(H114)-(($I114/12)-1),MONTH(H114),DAY(H114)),"dd/mm/yyyy"),", ",Constants!$O$5,TEXT(DATE(YEAR(H114)-(($I114/12)-2),MONTH(H114),DAY(H114)),"dd/mm/yyyy"),", ",Constants!$P$5,TEXT(DATE(YEAR(H114)-(($I114/12)-3),MONTH(H114),DAY(H114)),"dd/mm/yyyy"),", ",Constants!$Q$5,TEXT(DATE(YEAR(H114)-(($I114/12)-4),MONTH(H114),DAY(H114)),"dd/mm/yyyy"),", ",Constants!$R$5,TEXT($H114,"dd/mm/yyyy")),IF(($I114/12)=3,_xlfn.CONCAT(Constants!$N$4,TEXT(DATE(YEAR(H114)-(($I114/12)-1),MONTH(H114),DAY(H114)),"dd/mm/yyyy"),", ",Constants!$O$4,TEXT(DATE(YEAR(H114)-(($I114/12)-2),MONTH(H114),DAY(H114)),"dd/mm/yyyy"),", ",Constants!$P$4,TEXT($H114,"dd/mm/yyyy")),IF(($I114/12)=2,_xlfn.CONCAT(Constants!$N$3,TEXT(DATE(YEAR(H114)-(($I114/12)-1),MONTH(H114),DAY(H114)),"dd/mm/yyyy"),", ",Constants!$O$3,TEXT($H114,"dd/mm/yyyy")),IF(($I114/12)=1,_xlfn.CONCAT(Constants!$N$2,TEXT($H114,"dd/mm/yyyy")),"Update Constants"))))))),"")</f>
        <v/>
      </c>
      <c r="BC114" s="147" t="str">
        <f>_xlfn.IFNA(VALUE(INDEX(Producer!$K:$K,MATCH($D114,Producer!$A:$A,0))),"")</f>
        <v/>
      </c>
      <c r="BD114" s="147" t="str">
        <f>_xlfn.IFNA(INDEX(Producer!$I:$I,MATCH($D114,Producer!$A:$A,0)),"")</f>
        <v/>
      </c>
      <c r="BE114" s="147" t="str">
        <f t="shared" si="36"/>
        <v/>
      </c>
      <c r="BF114" s="147"/>
      <c r="BG114" s="147"/>
      <c r="BH114" s="151" t="str">
        <f>_xlfn.IFNA(INDEX(Constants!$B:$B,MATCH(BC114,Constants!A:A,0)),"")</f>
        <v/>
      </c>
      <c r="BI114" s="147" t="str">
        <f>IF(LEFT(B114,15)="Limited Company",Constants!$D$16,IFERROR(_xlfn.IFNA(IF(C114="Residential",IF(BK114&lt;75,INDEX(Constants!$B:$B,MATCH(VALUE(60)/100,Constants!$A:$A,0)),INDEX(Constants!$B:$B,MATCH(VALUE(BK114)/100,Constants!$A:$A,0))),IF(BK114&lt;60,INDEX(Constants!$C:$C,MATCH(VALUE(60)/100,Constants!$A:$A,0)),INDEX(Constants!$C:$C,MATCH(VALUE(BK114)/100,Constants!$A:$A,0)))),""),""))</f>
        <v/>
      </c>
      <c r="BJ114" s="147" t="str">
        <f t="shared" si="37"/>
        <v/>
      </c>
      <c r="BK114" s="147" t="str">
        <f>_xlfn.IFNA(VALUE(INDEX(Producer!$E:$E,MATCH($D114,Producer!$A:$A,0)))*100,"")</f>
        <v/>
      </c>
      <c r="BL114" s="146" t="str">
        <f>_xlfn.IFNA(IF(IFERROR(FIND("Part &amp; Part",B114),-10)&gt;0,"PP",IF(OR(LEFT(B114,25)="Residential Interest Only",INDEX(Producer!$P:$P,MATCH($D114,Producer!$A:$A,0))="IO",INDEX(Producer!$P:$P,MATCH($D114,Producer!$A:$A,0))="Retirement Interest Only"),"IO",IF($C114="BuyToLet","CI, IO","CI"))),"")</f>
        <v/>
      </c>
      <c r="BM114" s="152" t="str">
        <f>_xlfn.IFNA(IF(BL114="IO",100%,IF(AND(INDEX(Producer!$P:$P,MATCH($D114,Producer!$A:$A,0))="Residential Interest Only Part &amp; Part",BK114=75),80%,IF(C114="BuyToLet",100%,IF(BL114="Interest Only",100%,IF(AND(INDEX(Producer!$P:$P,MATCH($D114,Producer!$A:$A,0))="Residential Interest Only Part &amp; Part",BK114=60),100%,""))))),"")</f>
        <v/>
      </c>
      <c r="BN114" s="218" t="str">
        <f>_xlfn.IFNA(IF(VALUE(INDEX(Producer!$H:$H,MATCH($D114,Producer!$A:$A,0)))=0,"",VALUE(INDEX(Producer!$H:$H,MATCH($D114,Producer!$A:$A,0)))),"")</f>
        <v/>
      </c>
      <c r="BO114" s="153"/>
      <c r="BP114" s="153"/>
      <c r="BQ114" s="219" t="str">
        <f t="shared" si="38"/>
        <v/>
      </c>
      <c r="BR114" s="146"/>
      <c r="BS114" s="146"/>
      <c r="BT114" s="146"/>
      <c r="BU114" s="146"/>
      <c r="BV114" s="219" t="str">
        <f t="shared" si="39"/>
        <v/>
      </c>
      <c r="BW114" s="146"/>
      <c r="BX114" s="146"/>
      <c r="BY114" s="146" t="str">
        <f t="shared" si="40"/>
        <v/>
      </c>
      <c r="BZ114" s="146" t="str">
        <f t="shared" si="41"/>
        <v/>
      </c>
      <c r="CA114" s="146" t="str">
        <f t="shared" si="42"/>
        <v/>
      </c>
      <c r="CB114" s="146" t="str">
        <f t="shared" si="43"/>
        <v/>
      </c>
      <c r="CC114" s="146" t="str">
        <f>_xlfn.IFNA(IF(INDEX(Producer!$P:$P,MATCH($D114,Producer!$A:$A,0))="Help to Buy","Only available","No"),"")</f>
        <v/>
      </c>
      <c r="CD114" s="146" t="str">
        <f>_xlfn.IFNA(IF(INDEX(Producer!$P:$P,MATCH($D114,Producer!$A:$A,0))="Shared Ownership","Only available","No"),"")</f>
        <v/>
      </c>
      <c r="CE114" s="146" t="str">
        <f>_xlfn.IFNA(IF(INDEX(Producer!$P:$P,MATCH($D114,Producer!$A:$A,0))="Right to Buy","Only available","No"),"")</f>
        <v/>
      </c>
      <c r="CF114" s="146" t="str">
        <f t="shared" si="44"/>
        <v/>
      </c>
      <c r="CG114" s="146" t="str">
        <f>_xlfn.IFNA(IF(INDEX(Producer!$P:$P,MATCH($D114,Producer!$A:$A,0))="Retirement Interest Only","Only available","No"),"")</f>
        <v/>
      </c>
      <c r="CH114" s="146" t="str">
        <f t="shared" si="45"/>
        <v/>
      </c>
      <c r="CI114" s="146" t="str">
        <f>_xlfn.IFNA(IF(INDEX(Producer!$P:$P,MATCH($D114,Producer!$A:$A,0))="Intermediary Holiday Let","Only available","No"),"")</f>
        <v/>
      </c>
      <c r="CJ114" s="146" t="str">
        <f t="shared" si="46"/>
        <v/>
      </c>
      <c r="CK114" s="146" t="str">
        <f>_xlfn.IFNA(IF(OR(INDEX(Producer!$P:$P,MATCH($D114,Producer!$A:$A,0))="Intermediary Small HMO",INDEX(Producer!$P:$P,MATCH($D114,Producer!$A:$A,0))="Intermediary Large HMO"),"Only available","No"),"")</f>
        <v/>
      </c>
      <c r="CL114" s="146" t="str">
        <f t="shared" si="47"/>
        <v/>
      </c>
      <c r="CM114" s="146" t="str">
        <f t="shared" si="48"/>
        <v/>
      </c>
      <c r="CN114" s="146" t="str">
        <f t="shared" si="49"/>
        <v/>
      </c>
      <c r="CO114" s="146" t="str">
        <f t="shared" si="50"/>
        <v/>
      </c>
      <c r="CP114" s="146" t="str">
        <f t="shared" si="51"/>
        <v/>
      </c>
      <c r="CQ114" s="146" t="str">
        <f t="shared" si="52"/>
        <v/>
      </c>
      <c r="CR114" s="146" t="str">
        <f t="shared" si="53"/>
        <v/>
      </c>
      <c r="CS114" s="146" t="str">
        <f t="shared" si="54"/>
        <v/>
      </c>
      <c r="CT114" s="146" t="str">
        <f t="shared" si="55"/>
        <v/>
      </c>
      <c r="CU114" s="146"/>
    </row>
    <row r="115" spans="1:99" ht="16.399999999999999" customHeight="1" x14ac:dyDescent="0.35">
      <c r="A115" s="145" t="str">
        <f t="shared" si="28"/>
        <v/>
      </c>
      <c r="B115" s="145" t="str">
        <f>_xlfn.IFNA(_xlfn.CONCAT(INDEX(Producer!$P:$P,MATCH($D115,Producer!$A:$A,0))," ",IF(INDEX(Producer!$N:$N,MATCH($D115,Producer!$A:$A,0))="Yes","Green ",""),IF(AND(INDEX(Producer!$L:$L,MATCH($D115,Producer!$A:$A,0))="No",INDEX(Producer!$C:$C,MATCH($D115,Producer!$A:$A,0))="Fixed"),"Flexit ",""),INDEX(Producer!$B:$B,MATCH($D115,Producer!$A:$A,0))," Year ",INDEX(Producer!$C:$C,MATCH($D115,Producer!$A:$A,0))," ",VALUE(INDEX(Producer!$E:$E,MATCH($D115,Producer!$A:$A,0)))*100,"% LTV",IF(INDEX(Producer!$N:$N,MATCH($D115,Producer!$A:$A,0))="Yes"," (EPC A-C)","")," - ",IF(INDEX(Producer!$D:$D,MATCH($D115,Producer!$A:$A,0))="DLY","Daily","Annual")),"")</f>
        <v/>
      </c>
      <c r="C115" s="146" t="str">
        <f>_xlfn.IFNA(INDEX(Producer!$Q:$Q,MATCH($D115,Producer!$A:$A,0)),"")</f>
        <v/>
      </c>
      <c r="D115" s="146" t="str">
        <f>IFERROR(VALUE(MID(Producer!$R$2,IF($D114="",1/0,FIND(_xlfn.CONCAT($D113,$D114),Producer!$R$2)+10),5)),"")</f>
        <v/>
      </c>
      <c r="E115" s="146" t="str">
        <f t="shared" si="29"/>
        <v/>
      </c>
      <c r="F115" s="146"/>
      <c r="G115" s="147" t="str">
        <f>_xlfn.IFNA(VALUE(INDEX(Producer!$F:$F,MATCH($D115,Producer!$A:$A,0)))*100,"")</f>
        <v/>
      </c>
      <c r="H115" s="216" t="str">
        <f>_xlfn.IFNA(IFERROR(DATEVALUE(INDEX(Producer!$M:$M,MATCH($D115,Producer!$A:$A,0))),(INDEX(Producer!$M:$M,MATCH($D115,Producer!$A:$A,0)))),"")</f>
        <v/>
      </c>
      <c r="I115" s="217" t="str">
        <f>_xlfn.IFNA(VALUE(INDEX(Producer!$B:$B,MATCH($D115,Producer!$A:$A,0)))*12,"")</f>
        <v/>
      </c>
      <c r="J115" s="146" t="str">
        <f>_xlfn.IFNA(IF(C115="Residential",IF(VALUE(INDEX(Producer!$B:$B,MATCH($D115,Producer!$A:$A,0)))&lt;5,Constants!$C$10,""),IF(VALUE(INDEX(Producer!$B:$B,MATCH($D115,Producer!$A:$A,0)))&lt;5,Constants!$C$11,"")),"")</f>
        <v/>
      </c>
      <c r="K115" s="216" t="str">
        <f>_xlfn.IFNA(IF(($I115)&lt;60,DATE(YEAR(H115)+(5-VALUE(INDEX(Producer!$B:$B,MATCH($D115,Producer!$A:$A,0)))),MONTH(H115),DAY(H115)),""),"")</f>
        <v/>
      </c>
      <c r="L115" s="153" t="str">
        <f t="shared" si="30"/>
        <v/>
      </c>
      <c r="M115" s="146"/>
      <c r="N115" s="148"/>
      <c r="O115" s="148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 t="str">
        <f>IF(D115="","",IF(C115="Residential",Constants!$B$10,Constants!$B$11))</f>
        <v/>
      </c>
      <c r="AL115" s="146" t="str">
        <f t="shared" si="31"/>
        <v/>
      </c>
      <c r="AM115" s="206" t="str">
        <f t="shared" si="32"/>
        <v/>
      </c>
      <c r="AN115" s="146" t="str">
        <f t="shared" si="33"/>
        <v/>
      </c>
      <c r="AO115" s="149" t="str">
        <f t="shared" si="34"/>
        <v/>
      </c>
      <c r="AP115" s="150" t="str">
        <f t="shared" si="35"/>
        <v/>
      </c>
      <c r="AQ115" s="146" t="str">
        <f>IFERROR(_xlfn.IFNA(IF($BA115="No",0,IF(INDEX(Constants!B:B,MATCH(($I115/12),Constants!$A:$A,0))=0,0,INDEX(Constants!B:B,MATCH(($I115/12),Constants!$A:$A,0)))),0),"")</f>
        <v/>
      </c>
      <c r="AR115" s="146" t="str">
        <f>IFERROR(_xlfn.IFNA(IF($BA115="No",0,IF(INDEX(Constants!C:C,MATCH(($I115/12),Constants!$A:$A,0))=0,0,INDEX(Constants!C:C,MATCH(($I115/12),Constants!$A:$A,0)))),0),"")</f>
        <v/>
      </c>
      <c r="AS115" s="146" t="str">
        <f>IFERROR(_xlfn.IFNA(IF($BA115="No",0,IF(INDEX(Constants!D:D,MATCH(($I115/12),Constants!$A:$A,0))=0,0,INDEX(Constants!D:D,MATCH(($I115/12),Constants!$A:$A,0)))),0),"")</f>
        <v/>
      </c>
      <c r="AT115" s="146" t="str">
        <f>IFERROR(_xlfn.IFNA(IF($BA115="No",0,IF(INDEX(Constants!E:E,MATCH(($I115/12),Constants!$A:$A,0))=0,0,INDEX(Constants!E:E,MATCH(($I115/12),Constants!$A:$A,0)))),0),"")</f>
        <v/>
      </c>
      <c r="AU115" s="146" t="str">
        <f>IFERROR(_xlfn.IFNA(IF($BA115="No",0,IF(INDEX(Constants!F:F,MATCH(($I115/12),Constants!$A:$A,0))=0,0,INDEX(Constants!F:F,MATCH(($I115/12),Constants!$A:$A,0)))),0),"")</f>
        <v/>
      </c>
      <c r="AV115" s="146" t="str">
        <f>IFERROR(_xlfn.IFNA(IF($BA115="No",0,IF(INDEX(Constants!G:G,MATCH(($I115/12),Constants!$A:$A,0))=0,0,INDEX(Constants!G:G,MATCH(($I115/12),Constants!$A:$A,0)))),0),"")</f>
        <v/>
      </c>
      <c r="AW115" s="146" t="str">
        <f>IFERROR(_xlfn.IFNA(IF($BA115="No",0,IF(INDEX(Constants!H:H,MATCH(($I115/12),Constants!$A:$A,0))=0,0,INDEX(Constants!H:H,MATCH(($I115/12),Constants!$A:$A,0)))),0),"")</f>
        <v/>
      </c>
      <c r="AX115" s="146" t="str">
        <f>IFERROR(_xlfn.IFNA(IF($BA115="No",0,IF(INDEX(Constants!I:I,MATCH(($I115/12),Constants!$A:$A,0))=0,0,INDEX(Constants!I:I,MATCH(($I115/12),Constants!$A:$A,0)))),0),"")</f>
        <v/>
      </c>
      <c r="AY115" s="146" t="str">
        <f>IFERROR(_xlfn.IFNA(IF($BA115="No",0,IF(INDEX(Constants!J:J,MATCH(($I115/12),Constants!$A:$A,0))=0,0,INDEX(Constants!J:J,MATCH(($I115/12),Constants!$A:$A,0)))),0),"")</f>
        <v/>
      </c>
      <c r="AZ115" s="146" t="str">
        <f>IFERROR(_xlfn.IFNA(IF($BA115="No",0,IF(INDEX(Constants!K:K,MATCH(($I115/12),Constants!$A:$A,0))=0,0,INDEX(Constants!K:K,MATCH(($I115/12),Constants!$A:$A,0)))),0),"")</f>
        <v/>
      </c>
      <c r="BA115" s="147" t="str">
        <f>_xlfn.IFNA(INDEX(Producer!$L:$L,MATCH($D115,Producer!$A:$A,0)),"")</f>
        <v/>
      </c>
      <c r="BB115" s="146" t="str">
        <f>IFERROR(IF(AQ115=0,"",IF(($I115/12)=15,_xlfn.CONCAT(Constants!$N$7,TEXT(DATE(YEAR(H115)-(($I115/12)-3),MONTH(H115),DAY(H115)),"dd/mm/yyyy"),", ",Constants!$P$7,TEXT(DATE(YEAR(H115)-(($I115/12)-8),MONTH(H115),DAY(H115)),"dd/mm/yyyy"),", ",Constants!$T$7,TEXT(DATE(YEAR(H115)-(($I115/12)-11),MONTH(H115),DAY(H115)),"dd/mm/yyyy"),", ",Constants!$V$7,TEXT(DATE(YEAR(H115)-(($I115/12)-13),MONTH(H115),DAY(H115)),"dd/mm/yyyy"),", ",Constants!$W$7,TEXT($H115,"dd/mm/yyyy")),IF(($I115/12)=10,_xlfn.CONCAT(Constants!$N$6,TEXT(DATE(YEAR(H115)-(($I115/12)-2),MONTH(H115),DAY(H115)),"dd/mm/yyyy"),", ",Constants!$P$6,TEXT(DATE(YEAR(H115)-(($I115/12)-6),MONTH(H115),DAY(H115)),"dd/mm/yyyy"),", ",Constants!$T$6,TEXT(DATE(YEAR(H115)-(($I115/12)-8),MONTH(H115),DAY(H115)),"dd/mm/yyyy"),", ",Constants!$V$6,TEXT(DATE(YEAR(H115)-(($I115/12)-9),MONTH(H115),DAY(H115)),"dd/mm/yyyy"),", ",Constants!$W$6,TEXT($H115,"dd/mm/yyyy")),IF(($I115/12)=5,_xlfn.CONCAT(Constants!$N$5,TEXT(DATE(YEAR(H115)-(($I115/12)-1),MONTH(H115),DAY(H115)),"dd/mm/yyyy"),", ",Constants!$O$5,TEXT(DATE(YEAR(H115)-(($I115/12)-2),MONTH(H115),DAY(H115)),"dd/mm/yyyy"),", ",Constants!$P$5,TEXT(DATE(YEAR(H115)-(($I115/12)-3),MONTH(H115),DAY(H115)),"dd/mm/yyyy"),", ",Constants!$Q$5,TEXT(DATE(YEAR(H115)-(($I115/12)-4),MONTH(H115),DAY(H115)),"dd/mm/yyyy"),", ",Constants!$R$5,TEXT($H115,"dd/mm/yyyy")),IF(($I115/12)=3,_xlfn.CONCAT(Constants!$N$4,TEXT(DATE(YEAR(H115)-(($I115/12)-1),MONTH(H115),DAY(H115)),"dd/mm/yyyy"),", ",Constants!$O$4,TEXT(DATE(YEAR(H115)-(($I115/12)-2),MONTH(H115),DAY(H115)),"dd/mm/yyyy"),", ",Constants!$P$4,TEXT($H115,"dd/mm/yyyy")),IF(($I115/12)=2,_xlfn.CONCAT(Constants!$N$3,TEXT(DATE(YEAR(H115)-(($I115/12)-1),MONTH(H115),DAY(H115)),"dd/mm/yyyy"),", ",Constants!$O$3,TEXT($H115,"dd/mm/yyyy")),IF(($I115/12)=1,_xlfn.CONCAT(Constants!$N$2,TEXT($H115,"dd/mm/yyyy")),"Update Constants"))))))),"")</f>
        <v/>
      </c>
      <c r="BC115" s="147" t="str">
        <f>_xlfn.IFNA(VALUE(INDEX(Producer!$K:$K,MATCH($D115,Producer!$A:$A,0))),"")</f>
        <v/>
      </c>
      <c r="BD115" s="147" t="str">
        <f>_xlfn.IFNA(INDEX(Producer!$I:$I,MATCH($D115,Producer!$A:$A,0)),"")</f>
        <v/>
      </c>
      <c r="BE115" s="147" t="str">
        <f t="shared" si="36"/>
        <v/>
      </c>
      <c r="BF115" s="147"/>
      <c r="BG115" s="147"/>
      <c r="BH115" s="151" t="str">
        <f>_xlfn.IFNA(INDEX(Constants!$B:$B,MATCH(BC115,Constants!A:A,0)),"")</f>
        <v/>
      </c>
      <c r="BI115" s="147" t="str">
        <f>IF(LEFT(B115,15)="Limited Company",Constants!$D$16,IFERROR(_xlfn.IFNA(IF(C115="Residential",IF(BK115&lt;75,INDEX(Constants!$B:$B,MATCH(VALUE(60)/100,Constants!$A:$A,0)),INDEX(Constants!$B:$B,MATCH(VALUE(BK115)/100,Constants!$A:$A,0))),IF(BK115&lt;60,INDEX(Constants!$C:$C,MATCH(VALUE(60)/100,Constants!$A:$A,0)),INDEX(Constants!$C:$C,MATCH(VALUE(BK115)/100,Constants!$A:$A,0)))),""),""))</f>
        <v/>
      </c>
      <c r="BJ115" s="147" t="str">
        <f t="shared" si="37"/>
        <v/>
      </c>
      <c r="BK115" s="147" t="str">
        <f>_xlfn.IFNA(VALUE(INDEX(Producer!$E:$E,MATCH($D115,Producer!$A:$A,0)))*100,"")</f>
        <v/>
      </c>
      <c r="BL115" s="146" t="str">
        <f>_xlfn.IFNA(IF(IFERROR(FIND("Part &amp; Part",B115),-10)&gt;0,"PP",IF(OR(LEFT(B115,25)="Residential Interest Only",INDEX(Producer!$P:$P,MATCH($D115,Producer!$A:$A,0))="IO",INDEX(Producer!$P:$P,MATCH($D115,Producer!$A:$A,0))="Retirement Interest Only"),"IO",IF($C115="BuyToLet","CI, IO","CI"))),"")</f>
        <v/>
      </c>
      <c r="BM115" s="152" t="str">
        <f>_xlfn.IFNA(IF(BL115="IO",100%,IF(AND(INDEX(Producer!$P:$P,MATCH($D115,Producer!$A:$A,0))="Residential Interest Only Part &amp; Part",BK115=75),80%,IF(C115="BuyToLet",100%,IF(BL115="Interest Only",100%,IF(AND(INDEX(Producer!$P:$P,MATCH($D115,Producer!$A:$A,0))="Residential Interest Only Part &amp; Part",BK115=60),100%,""))))),"")</f>
        <v/>
      </c>
      <c r="BN115" s="218" t="str">
        <f>_xlfn.IFNA(IF(VALUE(INDEX(Producer!$H:$H,MATCH($D115,Producer!$A:$A,0)))=0,"",VALUE(INDEX(Producer!$H:$H,MATCH($D115,Producer!$A:$A,0)))),"")</f>
        <v/>
      </c>
      <c r="BO115" s="153"/>
      <c r="BP115" s="153"/>
      <c r="BQ115" s="219" t="str">
        <f t="shared" si="38"/>
        <v/>
      </c>
      <c r="BR115" s="146"/>
      <c r="BS115" s="146"/>
      <c r="BT115" s="146"/>
      <c r="BU115" s="146"/>
      <c r="BV115" s="219" t="str">
        <f t="shared" si="39"/>
        <v/>
      </c>
      <c r="BW115" s="146"/>
      <c r="BX115" s="146"/>
      <c r="BY115" s="146" t="str">
        <f t="shared" si="40"/>
        <v/>
      </c>
      <c r="BZ115" s="146" t="str">
        <f t="shared" si="41"/>
        <v/>
      </c>
      <c r="CA115" s="146" t="str">
        <f t="shared" si="42"/>
        <v/>
      </c>
      <c r="CB115" s="146" t="str">
        <f t="shared" si="43"/>
        <v/>
      </c>
      <c r="CC115" s="146" t="str">
        <f>_xlfn.IFNA(IF(INDEX(Producer!$P:$P,MATCH($D115,Producer!$A:$A,0))="Help to Buy","Only available","No"),"")</f>
        <v/>
      </c>
      <c r="CD115" s="146" t="str">
        <f>_xlfn.IFNA(IF(INDEX(Producer!$P:$P,MATCH($D115,Producer!$A:$A,0))="Shared Ownership","Only available","No"),"")</f>
        <v/>
      </c>
      <c r="CE115" s="146" t="str">
        <f>_xlfn.IFNA(IF(INDEX(Producer!$P:$P,MATCH($D115,Producer!$A:$A,0))="Right to Buy","Only available","No"),"")</f>
        <v/>
      </c>
      <c r="CF115" s="146" t="str">
        <f t="shared" si="44"/>
        <v/>
      </c>
      <c r="CG115" s="146" t="str">
        <f>_xlfn.IFNA(IF(INDEX(Producer!$P:$P,MATCH($D115,Producer!$A:$A,0))="Retirement Interest Only","Only available","No"),"")</f>
        <v/>
      </c>
      <c r="CH115" s="146" t="str">
        <f t="shared" si="45"/>
        <v/>
      </c>
      <c r="CI115" s="146" t="str">
        <f>_xlfn.IFNA(IF(INDEX(Producer!$P:$P,MATCH($D115,Producer!$A:$A,0))="Intermediary Holiday Let","Only available","No"),"")</f>
        <v/>
      </c>
      <c r="CJ115" s="146" t="str">
        <f t="shared" si="46"/>
        <v/>
      </c>
      <c r="CK115" s="146" t="str">
        <f>_xlfn.IFNA(IF(OR(INDEX(Producer!$P:$P,MATCH($D115,Producer!$A:$A,0))="Intermediary Small HMO",INDEX(Producer!$P:$P,MATCH($D115,Producer!$A:$A,0))="Intermediary Large HMO"),"Only available","No"),"")</f>
        <v/>
      </c>
      <c r="CL115" s="146" t="str">
        <f t="shared" si="47"/>
        <v/>
      </c>
      <c r="CM115" s="146" t="str">
        <f t="shared" si="48"/>
        <v/>
      </c>
      <c r="CN115" s="146" t="str">
        <f t="shared" si="49"/>
        <v/>
      </c>
      <c r="CO115" s="146" t="str">
        <f t="shared" si="50"/>
        <v/>
      </c>
      <c r="CP115" s="146" t="str">
        <f t="shared" si="51"/>
        <v/>
      </c>
      <c r="CQ115" s="146" t="str">
        <f t="shared" si="52"/>
        <v/>
      </c>
      <c r="CR115" s="146" t="str">
        <f t="shared" si="53"/>
        <v/>
      </c>
      <c r="CS115" s="146" t="str">
        <f t="shared" si="54"/>
        <v/>
      </c>
      <c r="CT115" s="146" t="str">
        <f t="shared" si="55"/>
        <v/>
      </c>
      <c r="CU115" s="146"/>
    </row>
    <row r="116" spans="1:99" ht="16.399999999999999" customHeight="1" x14ac:dyDescent="0.35">
      <c r="A116" s="145" t="str">
        <f t="shared" si="28"/>
        <v/>
      </c>
      <c r="B116" s="145" t="str">
        <f>_xlfn.IFNA(_xlfn.CONCAT(INDEX(Producer!$P:$P,MATCH($D116,Producer!$A:$A,0))," ",IF(INDEX(Producer!$N:$N,MATCH($D116,Producer!$A:$A,0))="Yes","Green ",""),IF(AND(INDEX(Producer!$L:$L,MATCH($D116,Producer!$A:$A,0))="No",INDEX(Producer!$C:$C,MATCH($D116,Producer!$A:$A,0))="Fixed"),"Flexit ",""),INDEX(Producer!$B:$B,MATCH($D116,Producer!$A:$A,0))," Year ",INDEX(Producer!$C:$C,MATCH($D116,Producer!$A:$A,0))," ",VALUE(INDEX(Producer!$E:$E,MATCH($D116,Producer!$A:$A,0)))*100,"% LTV",IF(INDEX(Producer!$N:$N,MATCH($D116,Producer!$A:$A,0))="Yes"," (EPC A-C)","")," - ",IF(INDEX(Producer!$D:$D,MATCH($D116,Producer!$A:$A,0))="DLY","Daily","Annual")),"")</f>
        <v/>
      </c>
      <c r="C116" s="146" t="str">
        <f>_xlfn.IFNA(INDEX(Producer!$Q:$Q,MATCH($D116,Producer!$A:$A,0)),"")</f>
        <v/>
      </c>
      <c r="D116" s="146" t="str">
        <f>IFERROR(VALUE(MID(Producer!$R$2,IF($D115="",1/0,FIND(_xlfn.CONCAT($D114,$D115),Producer!$R$2)+10),5)),"")</f>
        <v/>
      </c>
      <c r="E116" s="146" t="str">
        <f t="shared" si="29"/>
        <v/>
      </c>
      <c r="F116" s="146"/>
      <c r="G116" s="147" t="str">
        <f>_xlfn.IFNA(VALUE(INDEX(Producer!$F:$F,MATCH($D116,Producer!$A:$A,0)))*100,"")</f>
        <v/>
      </c>
      <c r="H116" s="216" t="str">
        <f>_xlfn.IFNA(IFERROR(DATEVALUE(INDEX(Producer!$M:$M,MATCH($D116,Producer!$A:$A,0))),(INDEX(Producer!$M:$M,MATCH($D116,Producer!$A:$A,0)))),"")</f>
        <v/>
      </c>
      <c r="I116" s="217" t="str">
        <f>_xlfn.IFNA(VALUE(INDEX(Producer!$B:$B,MATCH($D116,Producer!$A:$A,0)))*12,"")</f>
        <v/>
      </c>
      <c r="J116" s="146" t="str">
        <f>_xlfn.IFNA(IF(C116="Residential",IF(VALUE(INDEX(Producer!$B:$B,MATCH($D116,Producer!$A:$A,0)))&lt;5,Constants!$C$10,""),IF(VALUE(INDEX(Producer!$B:$B,MATCH($D116,Producer!$A:$A,0)))&lt;5,Constants!$C$11,"")),"")</f>
        <v/>
      </c>
      <c r="K116" s="216" t="str">
        <f>_xlfn.IFNA(IF(($I116)&lt;60,DATE(YEAR(H116)+(5-VALUE(INDEX(Producer!$B:$B,MATCH($D116,Producer!$A:$A,0)))),MONTH(H116),DAY(H116)),""),"")</f>
        <v/>
      </c>
      <c r="L116" s="153" t="str">
        <f t="shared" si="30"/>
        <v/>
      </c>
      <c r="M116" s="146"/>
      <c r="N116" s="148"/>
      <c r="O116" s="148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 t="str">
        <f>IF(D116="","",IF(C116="Residential",Constants!$B$10,Constants!$B$11))</f>
        <v/>
      </c>
      <c r="AL116" s="146" t="str">
        <f t="shared" si="31"/>
        <v/>
      </c>
      <c r="AM116" s="206" t="str">
        <f t="shared" si="32"/>
        <v/>
      </c>
      <c r="AN116" s="146" t="str">
        <f t="shared" si="33"/>
        <v/>
      </c>
      <c r="AO116" s="149" t="str">
        <f t="shared" si="34"/>
        <v/>
      </c>
      <c r="AP116" s="150" t="str">
        <f t="shared" si="35"/>
        <v/>
      </c>
      <c r="AQ116" s="146" t="str">
        <f>IFERROR(_xlfn.IFNA(IF($BA116="No",0,IF(INDEX(Constants!B:B,MATCH(($I116/12),Constants!$A:$A,0))=0,0,INDEX(Constants!B:B,MATCH(($I116/12),Constants!$A:$A,0)))),0),"")</f>
        <v/>
      </c>
      <c r="AR116" s="146" t="str">
        <f>IFERROR(_xlfn.IFNA(IF($BA116="No",0,IF(INDEX(Constants!C:C,MATCH(($I116/12),Constants!$A:$A,0))=0,0,INDEX(Constants!C:C,MATCH(($I116/12),Constants!$A:$A,0)))),0),"")</f>
        <v/>
      </c>
      <c r="AS116" s="146" t="str">
        <f>IFERROR(_xlfn.IFNA(IF($BA116="No",0,IF(INDEX(Constants!D:D,MATCH(($I116/12),Constants!$A:$A,0))=0,0,INDEX(Constants!D:D,MATCH(($I116/12),Constants!$A:$A,0)))),0),"")</f>
        <v/>
      </c>
      <c r="AT116" s="146" t="str">
        <f>IFERROR(_xlfn.IFNA(IF($BA116="No",0,IF(INDEX(Constants!E:E,MATCH(($I116/12),Constants!$A:$A,0))=0,0,INDEX(Constants!E:E,MATCH(($I116/12),Constants!$A:$A,0)))),0),"")</f>
        <v/>
      </c>
      <c r="AU116" s="146" t="str">
        <f>IFERROR(_xlfn.IFNA(IF($BA116="No",0,IF(INDEX(Constants!F:F,MATCH(($I116/12),Constants!$A:$A,0))=0,0,INDEX(Constants!F:F,MATCH(($I116/12),Constants!$A:$A,0)))),0),"")</f>
        <v/>
      </c>
      <c r="AV116" s="146" t="str">
        <f>IFERROR(_xlfn.IFNA(IF($BA116="No",0,IF(INDEX(Constants!G:G,MATCH(($I116/12),Constants!$A:$A,0))=0,0,INDEX(Constants!G:G,MATCH(($I116/12),Constants!$A:$A,0)))),0),"")</f>
        <v/>
      </c>
      <c r="AW116" s="146" t="str">
        <f>IFERROR(_xlfn.IFNA(IF($BA116="No",0,IF(INDEX(Constants!H:H,MATCH(($I116/12),Constants!$A:$A,0))=0,0,INDEX(Constants!H:H,MATCH(($I116/12),Constants!$A:$A,0)))),0),"")</f>
        <v/>
      </c>
      <c r="AX116" s="146" t="str">
        <f>IFERROR(_xlfn.IFNA(IF($BA116="No",0,IF(INDEX(Constants!I:I,MATCH(($I116/12),Constants!$A:$A,0))=0,0,INDEX(Constants!I:I,MATCH(($I116/12),Constants!$A:$A,0)))),0),"")</f>
        <v/>
      </c>
      <c r="AY116" s="146" t="str">
        <f>IFERROR(_xlfn.IFNA(IF($BA116="No",0,IF(INDEX(Constants!J:J,MATCH(($I116/12),Constants!$A:$A,0))=0,0,INDEX(Constants!J:J,MATCH(($I116/12),Constants!$A:$A,0)))),0),"")</f>
        <v/>
      </c>
      <c r="AZ116" s="146" t="str">
        <f>IFERROR(_xlfn.IFNA(IF($BA116="No",0,IF(INDEX(Constants!K:K,MATCH(($I116/12),Constants!$A:$A,0))=0,0,INDEX(Constants!K:K,MATCH(($I116/12),Constants!$A:$A,0)))),0),"")</f>
        <v/>
      </c>
      <c r="BA116" s="147" t="str">
        <f>_xlfn.IFNA(INDEX(Producer!$L:$L,MATCH($D116,Producer!$A:$A,0)),"")</f>
        <v/>
      </c>
      <c r="BB116" s="146" t="str">
        <f>IFERROR(IF(AQ116=0,"",IF(($I116/12)=15,_xlfn.CONCAT(Constants!$N$7,TEXT(DATE(YEAR(H116)-(($I116/12)-3),MONTH(H116),DAY(H116)),"dd/mm/yyyy"),", ",Constants!$P$7,TEXT(DATE(YEAR(H116)-(($I116/12)-8),MONTH(H116),DAY(H116)),"dd/mm/yyyy"),", ",Constants!$T$7,TEXT(DATE(YEAR(H116)-(($I116/12)-11),MONTH(H116),DAY(H116)),"dd/mm/yyyy"),", ",Constants!$V$7,TEXT(DATE(YEAR(H116)-(($I116/12)-13),MONTH(H116),DAY(H116)),"dd/mm/yyyy"),", ",Constants!$W$7,TEXT($H116,"dd/mm/yyyy")),IF(($I116/12)=10,_xlfn.CONCAT(Constants!$N$6,TEXT(DATE(YEAR(H116)-(($I116/12)-2),MONTH(H116),DAY(H116)),"dd/mm/yyyy"),", ",Constants!$P$6,TEXT(DATE(YEAR(H116)-(($I116/12)-6),MONTH(H116),DAY(H116)),"dd/mm/yyyy"),", ",Constants!$T$6,TEXT(DATE(YEAR(H116)-(($I116/12)-8),MONTH(H116),DAY(H116)),"dd/mm/yyyy"),", ",Constants!$V$6,TEXT(DATE(YEAR(H116)-(($I116/12)-9),MONTH(H116),DAY(H116)),"dd/mm/yyyy"),", ",Constants!$W$6,TEXT($H116,"dd/mm/yyyy")),IF(($I116/12)=5,_xlfn.CONCAT(Constants!$N$5,TEXT(DATE(YEAR(H116)-(($I116/12)-1),MONTH(H116),DAY(H116)),"dd/mm/yyyy"),", ",Constants!$O$5,TEXT(DATE(YEAR(H116)-(($I116/12)-2),MONTH(H116),DAY(H116)),"dd/mm/yyyy"),", ",Constants!$P$5,TEXT(DATE(YEAR(H116)-(($I116/12)-3),MONTH(H116),DAY(H116)),"dd/mm/yyyy"),", ",Constants!$Q$5,TEXT(DATE(YEAR(H116)-(($I116/12)-4),MONTH(H116),DAY(H116)),"dd/mm/yyyy"),", ",Constants!$R$5,TEXT($H116,"dd/mm/yyyy")),IF(($I116/12)=3,_xlfn.CONCAT(Constants!$N$4,TEXT(DATE(YEAR(H116)-(($I116/12)-1),MONTH(H116),DAY(H116)),"dd/mm/yyyy"),", ",Constants!$O$4,TEXT(DATE(YEAR(H116)-(($I116/12)-2),MONTH(H116),DAY(H116)),"dd/mm/yyyy"),", ",Constants!$P$4,TEXT($H116,"dd/mm/yyyy")),IF(($I116/12)=2,_xlfn.CONCAT(Constants!$N$3,TEXT(DATE(YEAR(H116)-(($I116/12)-1),MONTH(H116),DAY(H116)),"dd/mm/yyyy"),", ",Constants!$O$3,TEXT($H116,"dd/mm/yyyy")),IF(($I116/12)=1,_xlfn.CONCAT(Constants!$N$2,TEXT($H116,"dd/mm/yyyy")),"Update Constants"))))))),"")</f>
        <v/>
      </c>
      <c r="BC116" s="147" t="str">
        <f>_xlfn.IFNA(VALUE(INDEX(Producer!$K:$K,MATCH($D116,Producer!$A:$A,0))),"")</f>
        <v/>
      </c>
      <c r="BD116" s="147" t="str">
        <f>_xlfn.IFNA(INDEX(Producer!$I:$I,MATCH($D116,Producer!$A:$A,0)),"")</f>
        <v/>
      </c>
      <c r="BE116" s="147" t="str">
        <f t="shared" si="36"/>
        <v/>
      </c>
      <c r="BF116" s="147"/>
      <c r="BG116" s="147"/>
      <c r="BH116" s="151" t="str">
        <f>_xlfn.IFNA(INDEX(Constants!$B:$B,MATCH(BC116,Constants!A:A,0)),"")</f>
        <v/>
      </c>
      <c r="BI116" s="147" t="str">
        <f>IF(LEFT(B116,15)="Limited Company",Constants!$D$16,IFERROR(_xlfn.IFNA(IF(C116="Residential",IF(BK116&lt;75,INDEX(Constants!$B:$B,MATCH(VALUE(60)/100,Constants!$A:$A,0)),INDEX(Constants!$B:$B,MATCH(VALUE(BK116)/100,Constants!$A:$A,0))),IF(BK116&lt;60,INDEX(Constants!$C:$C,MATCH(VALUE(60)/100,Constants!$A:$A,0)),INDEX(Constants!$C:$C,MATCH(VALUE(BK116)/100,Constants!$A:$A,0)))),""),""))</f>
        <v/>
      </c>
      <c r="BJ116" s="147" t="str">
        <f t="shared" si="37"/>
        <v/>
      </c>
      <c r="BK116" s="147" t="str">
        <f>_xlfn.IFNA(VALUE(INDEX(Producer!$E:$E,MATCH($D116,Producer!$A:$A,0)))*100,"")</f>
        <v/>
      </c>
      <c r="BL116" s="146" t="str">
        <f>_xlfn.IFNA(IF(IFERROR(FIND("Part &amp; Part",B116),-10)&gt;0,"PP",IF(OR(LEFT(B116,25)="Residential Interest Only",INDEX(Producer!$P:$P,MATCH($D116,Producer!$A:$A,0))="IO",INDEX(Producer!$P:$P,MATCH($D116,Producer!$A:$A,0))="Retirement Interest Only"),"IO",IF($C116="BuyToLet","CI, IO","CI"))),"")</f>
        <v/>
      </c>
      <c r="BM116" s="152" t="str">
        <f>_xlfn.IFNA(IF(BL116="IO",100%,IF(AND(INDEX(Producer!$P:$P,MATCH($D116,Producer!$A:$A,0))="Residential Interest Only Part &amp; Part",BK116=75),80%,IF(C116="BuyToLet",100%,IF(BL116="Interest Only",100%,IF(AND(INDEX(Producer!$P:$P,MATCH($D116,Producer!$A:$A,0))="Residential Interest Only Part &amp; Part",BK116=60),100%,""))))),"")</f>
        <v/>
      </c>
      <c r="BN116" s="218" t="str">
        <f>_xlfn.IFNA(IF(VALUE(INDEX(Producer!$H:$H,MATCH($D116,Producer!$A:$A,0)))=0,"",VALUE(INDEX(Producer!$H:$H,MATCH($D116,Producer!$A:$A,0)))),"")</f>
        <v/>
      </c>
      <c r="BO116" s="153"/>
      <c r="BP116" s="153"/>
      <c r="BQ116" s="219" t="str">
        <f t="shared" si="38"/>
        <v/>
      </c>
      <c r="BR116" s="146"/>
      <c r="BS116" s="146"/>
      <c r="BT116" s="146"/>
      <c r="BU116" s="146"/>
      <c r="BV116" s="219" t="str">
        <f t="shared" si="39"/>
        <v/>
      </c>
      <c r="BW116" s="146"/>
      <c r="BX116" s="146"/>
      <c r="BY116" s="146" t="str">
        <f t="shared" si="40"/>
        <v/>
      </c>
      <c r="BZ116" s="146" t="str">
        <f t="shared" si="41"/>
        <v/>
      </c>
      <c r="CA116" s="146" t="str">
        <f t="shared" si="42"/>
        <v/>
      </c>
      <c r="CB116" s="146" t="str">
        <f t="shared" si="43"/>
        <v/>
      </c>
      <c r="CC116" s="146" t="str">
        <f>_xlfn.IFNA(IF(INDEX(Producer!$P:$P,MATCH($D116,Producer!$A:$A,0))="Help to Buy","Only available","No"),"")</f>
        <v/>
      </c>
      <c r="CD116" s="146" t="str">
        <f>_xlfn.IFNA(IF(INDEX(Producer!$P:$P,MATCH($D116,Producer!$A:$A,0))="Shared Ownership","Only available","No"),"")</f>
        <v/>
      </c>
      <c r="CE116" s="146" t="str">
        <f>_xlfn.IFNA(IF(INDEX(Producer!$P:$P,MATCH($D116,Producer!$A:$A,0))="Right to Buy","Only available","No"),"")</f>
        <v/>
      </c>
      <c r="CF116" s="146" t="str">
        <f t="shared" si="44"/>
        <v/>
      </c>
      <c r="CG116" s="146" t="str">
        <f>_xlfn.IFNA(IF(INDEX(Producer!$P:$P,MATCH($D116,Producer!$A:$A,0))="Retirement Interest Only","Only available","No"),"")</f>
        <v/>
      </c>
      <c r="CH116" s="146" t="str">
        <f t="shared" si="45"/>
        <v/>
      </c>
      <c r="CI116" s="146" t="str">
        <f>_xlfn.IFNA(IF(INDEX(Producer!$P:$P,MATCH($D116,Producer!$A:$A,0))="Intermediary Holiday Let","Only available","No"),"")</f>
        <v/>
      </c>
      <c r="CJ116" s="146" t="str">
        <f t="shared" si="46"/>
        <v/>
      </c>
      <c r="CK116" s="146" t="str">
        <f>_xlfn.IFNA(IF(OR(INDEX(Producer!$P:$P,MATCH($D116,Producer!$A:$A,0))="Intermediary Small HMO",INDEX(Producer!$P:$P,MATCH($D116,Producer!$A:$A,0))="Intermediary Large HMO"),"Only available","No"),"")</f>
        <v/>
      </c>
      <c r="CL116" s="146" t="str">
        <f t="shared" si="47"/>
        <v/>
      </c>
      <c r="CM116" s="146" t="str">
        <f t="shared" si="48"/>
        <v/>
      </c>
      <c r="CN116" s="146" t="str">
        <f t="shared" si="49"/>
        <v/>
      </c>
      <c r="CO116" s="146" t="str">
        <f t="shared" si="50"/>
        <v/>
      </c>
      <c r="CP116" s="146" t="str">
        <f t="shared" si="51"/>
        <v/>
      </c>
      <c r="CQ116" s="146" t="str">
        <f t="shared" si="52"/>
        <v/>
      </c>
      <c r="CR116" s="146" t="str">
        <f t="shared" si="53"/>
        <v/>
      </c>
      <c r="CS116" s="146" t="str">
        <f t="shared" si="54"/>
        <v/>
      </c>
      <c r="CT116" s="146" t="str">
        <f t="shared" si="55"/>
        <v/>
      </c>
      <c r="CU116" s="146"/>
    </row>
    <row r="117" spans="1:99" ht="16.399999999999999" customHeight="1" x14ac:dyDescent="0.35">
      <c r="A117" s="145" t="str">
        <f t="shared" si="28"/>
        <v/>
      </c>
      <c r="B117" s="145" t="str">
        <f>_xlfn.IFNA(_xlfn.CONCAT(INDEX(Producer!$P:$P,MATCH($D117,Producer!$A:$A,0))," ",IF(INDEX(Producer!$N:$N,MATCH($D117,Producer!$A:$A,0))="Yes","Green ",""),IF(AND(INDEX(Producer!$L:$L,MATCH($D117,Producer!$A:$A,0))="No",INDEX(Producer!$C:$C,MATCH($D117,Producer!$A:$A,0))="Fixed"),"Flexit ",""),INDEX(Producer!$B:$B,MATCH($D117,Producer!$A:$A,0))," Year ",INDEX(Producer!$C:$C,MATCH($D117,Producer!$A:$A,0))," ",VALUE(INDEX(Producer!$E:$E,MATCH($D117,Producer!$A:$A,0)))*100,"% LTV",IF(INDEX(Producer!$N:$N,MATCH($D117,Producer!$A:$A,0))="Yes"," (EPC A-C)","")," - ",IF(INDEX(Producer!$D:$D,MATCH($D117,Producer!$A:$A,0))="DLY","Daily","Annual")),"")</f>
        <v/>
      </c>
      <c r="C117" s="146" t="str">
        <f>_xlfn.IFNA(INDEX(Producer!$Q:$Q,MATCH($D117,Producer!$A:$A,0)),"")</f>
        <v/>
      </c>
      <c r="D117" s="146" t="str">
        <f>IFERROR(VALUE(MID(Producer!$R$2,IF($D116="",1/0,FIND(_xlfn.CONCAT($D115,$D116),Producer!$R$2)+10),5)),"")</f>
        <v/>
      </c>
      <c r="E117" s="146" t="str">
        <f t="shared" si="29"/>
        <v/>
      </c>
      <c r="F117" s="146"/>
      <c r="G117" s="147" t="str">
        <f>_xlfn.IFNA(VALUE(INDEX(Producer!$F:$F,MATCH($D117,Producer!$A:$A,0)))*100,"")</f>
        <v/>
      </c>
      <c r="H117" s="216" t="str">
        <f>_xlfn.IFNA(IFERROR(DATEVALUE(INDEX(Producer!$M:$M,MATCH($D117,Producer!$A:$A,0))),(INDEX(Producer!$M:$M,MATCH($D117,Producer!$A:$A,0)))),"")</f>
        <v/>
      </c>
      <c r="I117" s="217" t="str">
        <f>_xlfn.IFNA(VALUE(INDEX(Producer!$B:$B,MATCH($D117,Producer!$A:$A,0)))*12,"")</f>
        <v/>
      </c>
      <c r="J117" s="146" t="str">
        <f>_xlfn.IFNA(IF(C117="Residential",IF(VALUE(INDEX(Producer!$B:$B,MATCH($D117,Producer!$A:$A,0)))&lt;5,Constants!$C$10,""),IF(VALUE(INDEX(Producer!$B:$B,MATCH($D117,Producer!$A:$A,0)))&lt;5,Constants!$C$11,"")),"")</f>
        <v/>
      </c>
      <c r="K117" s="216" t="str">
        <f>_xlfn.IFNA(IF(($I117)&lt;60,DATE(YEAR(H117)+(5-VALUE(INDEX(Producer!$B:$B,MATCH($D117,Producer!$A:$A,0)))),MONTH(H117),DAY(H117)),""),"")</f>
        <v/>
      </c>
      <c r="L117" s="153" t="str">
        <f t="shared" si="30"/>
        <v/>
      </c>
      <c r="M117" s="146"/>
      <c r="N117" s="148"/>
      <c r="O117" s="148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 t="str">
        <f>IF(D117="","",IF(C117="Residential",Constants!$B$10,Constants!$B$11))</f>
        <v/>
      </c>
      <c r="AL117" s="146" t="str">
        <f t="shared" si="31"/>
        <v/>
      </c>
      <c r="AM117" s="206" t="str">
        <f t="shared" si="32"/>
        <v/>
      </c>
      <c r="AN117" s="146" t="str">
        <f t="shared" si="33"/>
        <v/>
      </c>
      <c r="AO117" s="149" t="str">
        <f t="shared" si="34"/>
        <v/>
      </c>
      <c r="AP117" s="150" t="str">
        <f t="shared" si="35"/>
        <v/>
      </c>
      <c r="AQ117" s="146" t="str">
        <f>IFERROR(_xlfn.IFNA(IF($BA117="No",0,IF(INDEX(Constants!B:B,MATCH(($I117/12),Constants!$A:$A,0))=0,0,INDEX(Constants!B:B,MATCH(($I117/12),Constants!$A:$A,0)))),0),"")</f>
        <v/>
      </c>
      <c r="AR117" s="146" t="str">
        <f>IFERROR(_xlfn.IFNA(IF($BA117="No",0,IF(INDEX(Constants!C:C,MATCH(($I117/12),Constants!$A:$A,0))=0,0,INDEX(Constants!C:C,MATCH(($I117/12),Constants!$A:$A,0)))),0),"")</f>
        <v/>
      </c>
      <c r="AS117" s="146" t="str">
        <f>IFERROR(_xlfn.IFNA(IF($BA117="No",0,IF(INDEX(Constants!D:D,MATCH(($I117/12),Constants!$A:$A,0))=0,0,INDEX(Constants!D:D,MATCH(($I117/12),Constants!$A:$A,0)))),0),"")</f>
        <v/>
      </c>
      <c r="AT117" s="146" t="str">
        <f>IFERROR(_xlfn.IFNA(IF($BA117="No",0,IF(INDEX(Constants!E:E,MATCH(($I117/12),Constants!$A:$A,0))=0,0,INDEX(Constants!E:E,MATCH(($I117/12),Constants!$A:$A,0)))),0),"")</f>
        <v/>
      </c>
      <c r="AU117" s="146" t="str">
        <f>IFERROR(_xlfn.IFNA(IF($BA117="No",0,IF(INDEX(Constants!F:F,MATCH(($I117/12),Constants!$A:$A,0))=0,0,INDEX(Constants!F:F,MATCH(($I117/12),Constants!$A:$A,0)))),0),"")</f>
        <v/>
      </c>
      <c r="AV117" s="146" t="str">
        <f>IFERROR(_xlfn.IFNA(IF($BA117="No",0,IF(INDEX(Constants!G:G,MATCH(($I117/12),Constants!$A:$A,0))=0,0,INDEX(Constants!G:G,MATCH(($I117/12),Constants!$A:$A,0)))),0),"")</f>
        <v/>
      </c>
      <c r="AW117" s="146" t="str">
        <f>IFERROR(_xlfn.IFNA(IF($BA117="No",0,IF(INDEX(Constants!H:H,MATCH(($I117/12),Constants!$A:$A,0))=0,0,INDEX(Constants!H:H,MATCH(($I117/12),Constants!$A:$A,0)))),0),"")</f>
        <v/>
      </c>
      <c r="AX117" s="146" t="str">
        <f>IFERROR(_xlfn.IFNA(IF($BA117="No",0,IF(INDEX(Constants!I:I,MATCH(($I117/12),Constants!$A:$A,0))=0,0,INDEX(Constants!I:I,MATCH(($I117/12),Constants!$A:$A,0)))),0),"")</f>
        <v/>
      </c>
      <c r="AY117" s="146" t="str">
        <f>IFERROR(_xlfn.IFNA(IF($BA117="No",0,IF(INDEX(Constants!J:J,MATCH(($I117/12),Constants!$A:$A,0))=0,0,INDEX(Constants!J:J,MATCH(($I117/12),Constants!$A:$A,0)))),0),"")</f>
        <v/>
      </c>
      <c r="AZ117" s="146" t="str">
        <f>IFERROR(_xlfn.IFNA(IF($BA117="No",0,IF(INDEX(Constants!K:K,MATCH(($I117/12),Constants!$A:$A,0))=0,0,INDEX(Constants!K:K,MATCH(($I117/12),Constants!$A:$A,0)))),0),"")</f>
        <v/>
      </c>
      <c r="BA117" s="147" t="str">
        <f>_xlfn.IFNA(INDEX(Producer!$L:$L,MATCH($D117,Producer!$A:$A,0)),"")</f>
        <v/>
      </c>
      <c r="BB117" s="146" t="str">
        <f>IFERROR(IF(AQ117=0,"",IF(($I117/12)=15,_xlfn.CONCAT(Constants!$N$7,TEXT(DATE(YEAR(H117)-(($I117/12)-3),MONTH(H117),DAY(H117)),"dd/mm/yyyy"),", ",Constants!$P$7,TEXT(DATE(YEAR(H117)-(($I117/12)-8),MONTH(H117),DAY(H117)),"dd/mm/yyyy"),", ",Constants!$T$7,TEXT(DATE(YEAR(H117)-(($I117/12)-11),MONTH(H117),DAY(H117)),"dd/mm/yyyy"),", ",Constants!$V$7,TEXT(DATE(YEAR(H117)-(($I117/12)-13),MONTH(H117),DAY(H117)),"dd/mm/yyyy"),", ",Constants!$W$7,TEXT($H117,"dd/mm/yyyy")),IF(($I117/12)=10,_xlfn.CONCAT(Constants!$N$6,TEXT(DATE(YEAR(H117)-(($I117/12)-2),MONTH(H117),DAY(H117)),"dd/mm/yyyy"),", ",Constants!$P$6,TEXT(DATE(YEAR(H117)-(($I117/12)-6),MONTH(H117),DAY(H117)),"dd/mm/yyyy"),", ",Constants!$T$6,TEXT(DATE(YEAR(H117)-(($I117/12)-8),MONTH(H117),DAY(H117)),"dd/mm/yyyy"),", ",Constants!$V$6,TEXT(DATE(YEAR(H117)-(($I117/12)-9),MONTH(H117),DAY(H117)),"dd/mm/yyyy"),", ",Constants!$W$6,TEXT($H117,"dd/mm/yyyy")),IF(($I117/12)=5,_xlfn.CONCAT(Constants!$N$5,TEXT(DATE(YEAR(H117)-(($I117/12)-1),MONTH(H117),DAY(H117)),"dd/mm/yyyy"),", ",Constants!$O$5,TEXT(DATE(YEAR(H117)-(($I117/12)-2),MONTH(H117),DAY(H117)),"dd/mm/yyyy"),", ",Constants!$P$5,TEXT(DATE(YEAR(H117)-(($I117/12)-3),MONTH(H117),DAY(H117)),"dd/mm/yyyy"),", ",Constants!$Q$5,TEXT(DATE(YEAR(H117)-(($I117/12)-4),MONTH(H117),DAY(H117)),"dd/mm/yyyy"),", ",Constants!$R$5,TEXT($H117,"dd/mm/yyyy")),IF(($I117/12)=3,_xlfn.CONCAT(Constants!$N$4,TEXT(DATE(YEAR(H117)-(($I117/12)-1),MONTH(H117),DAY(H117)),"dd/mm/yyyy"),", ",Constants!$O$4,TEXT(DATE(YEAR(H117)-(($I117/12)-2),MONTH(H117),DAY(H117)),"dd/mm/yyyy"),", ",Constants!$P$4,TEXT($H117,"dd/mm/yyyy")),IF(($I117/12)=2,_xlfn.CONCAT(Constants!$N$3,TEXT(DATE(YEAR(H117)-(($I117/12)-1),MONTH(H117),DAY(H117)),"dd/mm/yyyy"),", ",Constants!$O$3,TEXT($H117,"dd/mm/yyyy")),IF(($I117/12)=1,_xlfn.CONCAT(Constants!$N$2,TEXT($H117,"dd/mm/yyyy")),"Update Constants"))))))),"")</f>
        <v/>
      </c>
      <c r="BC117" s="147" t="str">
        <f>_xlfn.IFNA(VALUE(INDEX(Producer!$K:$K,MATCH($D117,Producer!$A:$A,0))),"")</f>
        <v/>
      </c>
      <c r="BD117" s="147" t="str">
        <f>_xlfn.IFNA(INDEX(Producer!$I:$I,MATCH($D117,Producer!$A:$A,0)),"")</f>
        <v/>
      </c>
      <c r="BE117" s="147" t="str">
        <f t="shared" si="36"/>
        <v/>
      </c>
      <c r="BF117" s="147"/>
      <c r="BG117" s="147"/>
      <c r="BH117" s="151" t="str">
        <f>_xlfn.IFNA(INDEX(Constants!$B:$B,MATCH(BC117,Constants!A:A,0)),"")</f>
        <v/>
      </c>
      <c r="BI117" s="147" t="str">
        <f>IF(LEFT(B117,15)="Limited Company",Constants!$D$16,IFERROR(_xlfn.IFNA(IF(C117="Residential",IF(BK117&lt;75,INDEX(Constants!$B:$B,MATCH(VALUE(60)/100,Constants!$A:$A,0)),INDEX(Constants!$B:$B,MATCH(VALUE(BK117)/100,Constants!$A:$A,0))),IF(BK117&lt;60,INDEX(Constants!$C:$C,MATCH(VALUE(60)/100,Constants!$A:$A,0)),INDEX(Constants!$C:$C,MATCH(VALUE(BK117)/100,Constants!$A:$A,0)))),""),""))</f>
        <v/>
      </c>
      <c r="BJ117" s="147" t="str">
        <f t="shared" si="37"/>
        <v/>
      </c>
      <c r="BK117" s="147" t="str">
        <f>_xlfn.IFNA(VALUE(INDEX(Producer!$E:$E,MATCH($D117,Producer!$A:$A,0)))*100,"")</f>
        <v/>
      </c>
      <c r="BL117" s="146" t="str">
        <f>_xlfn.IFNA(IF(IFERROR(FIND("Part &amp; Part",B117),-10)&gt;0,"PP",IF(OR(LEFT(B117,25)="Residential Interest Only",INDEX(Producer!$P:$P,MATCH($D117,Producer!$A:$A,0))="IO",INDEX(Producer!$P:$P,MATCH($D117,Producer!$A:$A,0))="Retirement Interest Only"),"IO",IF($C117="BuyToLet","CI, IO","CI"))),"")</f>
        <v/>
      </c>
      <c r="BM117" s="152" t="str">
        <f>_xlfn.IFNA(IF(BL117="IO",100%,IF(AND(INDEX(Producer!$P:$P,MATCH($D117,Producer!$A:$A,0))="Residential Interest Only Part &amp; Part",BK117=75),80%,IF(C117="BuyToLet",100%,IF(BL117="Interest Only",100%,IF(AND(INDEX(Producer!$P:$P,MATCH($D117,Producer!$A:$A,0))="Residential Interest Only Part &amp; Part",BK117=60),100%,""))))),"")</f>
        <v/>
      </c>
      <c r="BN117" s="218" t="str">
        <f>_xlfn.IFNA(IF(VALUE(INDEX(Producer!$H:$H,MATCH($D117,Producer!$A:$A,0)))=0,"",VALUE(INDEX(Producer!$H:$H,MATCH($D117,Producer!$A:$A,0)))),"")</f>
        <v/>
      </c>
      <c r="BO117" s="153"/>
      <c r="BP117" s="153"/>
      <c r="BQ117" s="219" t="str">
        <f t="shared" si="38"/>
        <v/>
      </c>
      <c r="BR117" s="146"/>
      <c r="BS117" s="146"/>
      <c r="BT117" s="146"/>
      <c r="BU117" s="146"/>
      <c r="BV117" s="219" t="str">
        <f t="shared" si="39"/>
        <v/>
      </c>
      <c r="BW117" s="146"/>
      <c r="BX117" s="146"/>
      <c r="BY117" s="146" t="str">
        <f t="shared" si="40"/>
        <v/>
      </c>
      <c r="BZ117" s="146" t="str">
        <f t="shared" si="41"/>
        <v/>
      </c>
      <c r="CA117" s="146" t="str">
        <f t="shared" si="42"/>
        <v/>
      </c>
      <c r="CB117" s="146" t="str">
        <f t="shared" si="43"/>
        <v/>
      </c>
      <c r="CC117" s="146" t="str">
        <f>_xlfn.IFNA(IF(INDEX(Producer!$P:$P,MATCH($D117,Producer!$A:$A,0))="Help to Buy","Only available","No"),"")</f>
        <v/>
      </c>
      <c r="CD117" s="146" t="str">
        <f>_xlfn.IFNA(IF(INDEX(Producer!$P:$P,MATCH($D117,Producer!$A:$A,0))="Shared Ownership","Only available","No"),"")</f>
        <v/>
      </c>
      <c r="CE117" s="146" t="str">
        <f>_xlfn.IFNA(IF(INDEX(Producer!$P:$P,MATCH($D117,Producer!$A:$A,0))="Right to Buy","Only available","No"),"")</f>
        <v/>
      </c>
      <c r="CF117" s="146" t="str">
        <f t="shared" si="44"/>
        <v/>
      </c>
      <c r="CG117" s="146" t="str">
        <f>_xlfn.IFNA(IF(INDEX(Producer!$P:$P,MATCH($D117,Producer!$A:$A,0))="Retirement Interest Only","Only available","No"),"")</f>
        <v/>
      </c>
      <c r="CH117" s="146" t="str">
        <f t="shared" si="45"/>
        <v/>
      </c>
      <c r="CI117" s="146" t="str">
        <f>_xlfn.IFNA(IF(INDEX(Producer!$P:$P,MATCH($D117,Producer!$A:$A,0))="Intermediary Holiday Let","Only available","No"),"")</f>
        <v/>
      </c>
      <c r="CJ117" s="146" t="str">
        <f t="shared" si="46"/>
        <v/>
      </c>
      <c r="CK117" s="146" t="str">
        <f>_xlfn.IFNA(IF(OR(INDEX(Producer!$P:$P,MATCH($D117,Producer!$A:$A,0))="Intermediary Small HMO",INDEX(Producer!$P:$P,MATCH($D117,Producer!$A:$A,0))="Intermediary Large HMO"),"Only available","No"),"")</f>
        <v/>
      </c>
      <c r="CL117" s="146" t="str">
        <f t="shared" si="47"/>
        <v/>
      </c>
      <c r="CM117" s="146" t="str">
        <f t="shared" si="48"/>
        <v/>
      </c>
      <c r="CN117" s="146" t="str">
        <f t="shared" si="49"/>
        <v/>
      </c>
      <c r="CO117" s="146" t="str">
        <f t="shared" si="50"/>
        <v/>
      </c>
      <c r="CP117" s="146" t="str">
        <f t="shared" si="51"/>
        <v/>
      </c>
      <c r="CQ117" s="146" t="str">
        <f t="shared" si="52"/>
        <v/>
      </c>
      <c r="CR117" s="146" t="str">
        <f t="shared" si="53"/>
        <v/>
      </c>
      <c r="CS117" s="146" t="str">
        <f t="shared" si="54"/>
        <v/>
      </c>
      <c r="CT117" s="146" t="str">
        <f t="shared" si="55"/>
        <v/>
      </c>
      <c r="CU117" s="146"/>
    </row>
    <row r="118" spans="1:99" ht="16.399999999999999" customHeight="1" x14ac:dyDescent="0.35">
      <c r="A118" s="145" t="str">
        <f t="shared" si="28"/>
        <v/>
      </c>
      <c r="B118" s="145" t="str">
        <f>_xlfn.IFNA(_xlfn.CONCAT(INDEX(Producer!$P:$P,MATCH($D118,Producer!$A:$A,0))," ",IF(INDEX(Producer!$N:$N,MATCH($D118,Producer!$A:$A,0))="Yes","Green ",""),IF(AND(INDEX(Producer!$L:$L,MATCH($D118,Producer!$A:$A,0))="No",INDEX(Producer!$C:$C,MATCH($D118,Producer!$A:$A,0))="Fixed"),"Flexit ",""),INDEX(Producer!$B:$B,MATCH($D118,Producer!$A:$A,0))," Year ",INDEX(Producer!$C:$C,MATCH($D118,Producer!$A:$A,0))," ",VALUE(INDEX(Producer!$E:$E,MATCH($D118,Producer!$A:$A,0)))*100,"% LTV",IF(INDEX(Producer!$N:$N,MATCH($D118,Producer!$A:$A,0))="Yes"," (EPC A-C)","")," - ",IF(INDEX(Producer!$D:$D,MATCH($D118,Producer!$A:$A,0))="DLY","Daily","Annual")),"")</f>
        <v/>
      </c>
      <c r="C118" s="146" t="str">
        <f>_xlfn.IFNA(INDEX(Producer!$Q:$Q,MATCH($D118,Producer!$A:$A,0)),"")</f>
        <v/>
      </c>
      <c r="D118" s="146" t="str">
        <f>IFERROR(VALUE(MID(Producer!$R$2,IF($D117="",1/0,FIND(_xlfn.CONCAT($D116,$D117),Producer!$R$2)+10),5)),"")</f>
        <v/>
      </c>
      <c r="E118" s="146" t="str">
        <f t="shared" si="29"/>
        <v/>
      </c>
      <c r="F118" s="146"/>
      <c r="G118" s="147" t="str">
        <f>_xlfn.IFNA(VALUE(INDEX(Producer!$F:$F,MATCH($D118,Producer!$A:$A,0)))*100,"")</f>
        <v/>
      </c>
      <c r="H118" s="216" t="str">
        <f>_xlfn.IFNA(IFERROR(DATEVALUE(INDEX(Producer!$M:$M,MATCH($D118,Producer!$A:$A,0))),(INDEX(Producer!$M:$M,MATCH($D118,Producer!$A:$A,0)))),"")</f>
        <v/>
      </c>
      <c r="I118" s="217" t="str">
        <f>_xlfn.IFNA(VALUE(INDEX(Producer!$B:$B,MATCH($D118,Producer!$A:$A,0)))*12,"")</f>
        <v/>
      </c>
      <c r="J118" s="146" t="str">
        <f>_xlfn.IFNA(IF(C118="Residential",IF(VALUE(INDEX(Producer!$B:$B,MATCH($D118,Producer!$A:$A,0)))&lt;5,Constants!$C$10,""),IF(VALUE(INDEX(Producer!$B:$B,MATCH($D118,Producer!$A:$A,0)))&lt;5,Constants!$C$11,"")),"")</f>
        <v/>
      </c>
      <c r="K118" s="216" t="str">
        <f>_xlfn.IFNA(IF(($I118)&lt;60,DATE(YEAR(H118)+(5-VALUE(INDEX(Producer!$B:$B,MATCH($D118,Producer!$A:$A,0)))),MONTH(H118),DAY(H118)),""),"")</f>
        <v/>
      </c>
      <c r="L118" s="153" t="str">
        <f t="shared" si="30"/>
        <v/>
      </c>
      <c r="M118" s="146"/>
      <c r="N118" s="148"/>
      <c r="O118" s="148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 t="str">
        <f>IF(D118="","",IF(C118="Residential",Constants!$B$10,Constants!$B$11))</f>
        <v/>
      </c>
      <c r="AL118" s="146" t="str">
        <f t="shared" si="31"/>
        <v/>
      </c>
      <c r="AM118" s="206" t="str">
        <f t="shared" si="32"/>
        <v/>
      </c>
      <c r="AN118" s="146" t="str">
        <f t="shared" si="33"/>
        <v/>
      </c>
      <c r="AO118" s="149" t="str">
        <f t="shared" si="34"/>
        <v/>
      </c>
      <c r="AP118" s="150" t="str">
        <f t="shared" si="35"/>
        <v/>
      </c>
      <c r="AQ118" s="146" t="str">
        <f>IFERROR(_xlfn.IFNA(IF($BA118="No",0,IF(INDEX(Constants!B:B,MATCH(($I118/12),Constants!$A:$A,0))=0,0,INDEX(Constants!B:B,MATCH(($I118/12),Constants!$A:$A,0)))),0),"")</f>
        <v/>
      </c>
      <c r="AR118" s="146" t="str">
        <f>IFERROR(_xlfn.IFNA(IF($BA118="No",0,IF(INDEX(Constants!C:C,MATCH(($I118/12),Constants!$A:$A,0))=0,0,INDEX(Constants!C:C,MATCH(($I118/12),Constants!$A:$A,0)))),0),"")</f>
        <v/>
      </c>
      <c r="AS118" s="146" t="str">
        <f>IFERROR(_xlfn.IFNA(IF($BA118="No",0,IF(INDEX(Constants!D:D,MATCH(($I118/12),Constants!$A:$A,0))=0,0,INDEX(Constants!D:D,MATCH(($I118/12),Constants!$A:$A,0)))),0),"")</f>
        <v/>
      </c>
      <c r="AT118" s="146" t="str">
        <f>IFERROR(_xlfn.IFNA(IF($BA118="No",0,IF(INDEX(Constants!E:E,MATCH(($I118/12),Constants!$A:$A,0))=0,0,INDEX(Constants!E:E,MATCH(($I118/12),Constants!$A:$A,0)))),0),"")</f>
        <v/>
      </c>
      <c r="AU118" s="146" t="str">
        <f>IFERROR(_xlfn.IFNA(IF($BA118="No",0,IF(INDEX(Constants!F:F,MATCH(($I118/12),Constants!$A:$A,0))=0,0,INDEX(Constants!F:F,MATCH(($I118/12),Constants!$A:$A,0)))),0),"")</f>
        <v/>
      </c>
      <c r="AV118" s="146" t="str">
        <f>IFERROR(_xlfn.IFNA(IF($BA118="No",0,IF(INDEX(Constants!G:G,MATCH(($I118/12),Constants!$A:$A,0))=0,0,INDEX(Constants!G:G,MATCH(($I118/12),Constants!$A:$A,0)))),0),"")</f>
        <v/>
      </c>
      <c r="AW118" s="146" t="str">
        <f>IFERROR(_xlfn.IFNA(IF($BA118="No",0,IF(INDEX(Constants!H:H,MATCH(($I118/12),Constants!$A:$A,0))=0,0,INDEX(Constants!H:H,MATCH(($I118/12),Constants!$A:$A,0)))),0),"")</f>
        <v/>
      </c>
      <c r="AX118" s="146" t="str">
        <f>IFERROR(_xlfn.IFNA(IF($BA118="No",0,IF(INDEX(Constants!I:I,MATCH(($I118/12),Constants!$A:$A,0))=0,0,INDEX(Constants!I:I,MATCH(($I118/12),Constants!$A:$A,0)))),0),"")</f>
        <v/>
      </c>
      <c r="AY118" s="146" t="str">
        <f>IFERROR(_xlfn.IFNA(IF($BA118="No",0,IF(INDEX(Constants!J:J,MATCH(($I118/12),Constants!$A:$A,0))=0,0,INDEX(Constants!J:J,MATCH(($I118/12),Constants!$A:$A,0)))),0),"")</f>
        <v/>
      </c>
      <c r="AZ118" s="146" t="str">
        <f>IFERROR(_xlfn.IFNA(IF($BA118="No",0,IF(INDEX(Constants!K:K,MATCH(($I118/12),Constants!$A:$A,0))=0,0,INDEX(Constants!K:K,MATCH(($I118/12),Constants!$A:$A,0)))),0),"")</f>
        <v/>
      </c>
      <c r="BA118" s="147" t="str">
        <f>_xlfn.IFNA(INDEX(Producer!$L:$L,MATCH($D118,Producer!$A:$A,0)),"")</f>
        <v/>
      </c>
      <c r="BB118" s="146" t="str">
        <f>IFERROR(IF(AQ118=0,"",IF(($I118/12)=15,_xlfn.CONCAT(Constants!$N$7,TEXT(DATE(YEAR(H118)-(($I118/12)-3),MONTH(H118),DAY(H118)),"dd/mm/yyyy"),", ",Constants!$P$7,TEXT(DATE(YEAR(H118)-(($I118/12)-8),MONTH(H118),DAY(H118)),"dd/mm/yyyy"),", ",Constants!$T$7,TEXT(DATE(YEAR(H118)-(($I118/12)-11),MONTH(H118),DAY(H118)),"dd/mm/yyyy"),", ",Constants!$V$7,TEXT(DATE(YEAR(H118)-(($I118/12)-13),MONTH(H118),DAY(H118)),"dd/mm/yyyy"),", ",Constants!$W$7,TEXT($H118,"dd/mm/yyyy")),IF(($I118/12)=10,_xlfn.CONCAT(Constants!$N$6,TEXT(DATE(YEAR(H118)-(($I118/12)-2),MONTH(H118),DAY(H118)),"dd/mm/yyyy"),", ",Constants!$P$6,TEXT(DATE(YEAR(H118)-(($I118/12)-6),MONTH(H118),DAY(H118)),"dd/mm/yyyy"),", ",Constants!$T$6,TEXT(DATE(YEAR(H118)-(($I118/12)-8),MONTH(H118),DAY(H118)),"dd/mm/yyyy"),", ",Constants!$V$6,TEXT(DATE(YEAR(H118)-(($I118/12)-9),MONTH(H118),DAY(H118)),"dd/mm/yyyy"),", ",Constants!$W$6,TEXT($H118,"dd/mm/yyyy")),IF(($I118/12)=5,_xlfn.CONCAT(Constants!$N$5,TEXT(DATE(YEAR(H118)-(($I118/12)-1),MONTH(H118),DAY(H118)),"dd/mm/yyyy"),", ",Constants!$O$5,TEXT(DATE(YEAR(H118)-(($I118/12)-2),MONTH(H118),DAY(H118)),"dd/mm/yyyy"),", ",Constants!$P$5,TEXT(DATE(YEAR(H118)-(($I118/12)-3),MONTH(H118),DAY(H118)),"dd/mm/yyyy"),", ",Constants!$Q$5,TEXT(DATE(YEAR(H118)-(($I118/12)-4),MONTH(H118),DAY(H118)),"dd/mm/yyyy"),", ",Constants!$R$5,TEXT($H118,"dd/mm/yyyy")),IF(($I118/12)=3,_xlfn.CONCAT(Constants!$N$4,TEXT(DATE(YEAR(H118)-(($I118/12)-1),MONTH(H118),DAY(H118)),"dd/mm/yyyy"),", ",Constants!$O$4,TEXT(DATE(YEAR(H118)-(($I118/12)-2),MONTH(H118),DAY(H118)),"dd/mm/yyyy"),", ",Constants!$P$4,TEXT($H118,"dd/mm/yyyy")),IF(($I118/12)=2,_xlfn.CONCAT(Constants!$N$3,TEXT(DATE(YEAR(H118)-(($I118/12)-1),MONTH(H118),DAY(H118)),"dd/mm/yyyy"),", ",Constants!$O$3,TEXT($H118,"dd/mm/yyyy")),IF(($I118/12)=1,_xlfn.CONCAT(Constants!$N$2,TEXT($H118,"dd/mm/yyyy")),"Update Constants"))))))),"")</f>
        <v/>
      </c>
      <c r="BC118" s="147" t="str">
        <f>_xlfn.IFNA(VALUE(INDEX(Producer!$K:$K,MATCH($D118,Producer!$A:$A,0))),"")</f>
        <v/>
      </c>
      <c r="BD118" s="147" t="str">
        <f>_xlfn.IFNA(INDEX(Producer!$I:$I,MATCH($D118,Producer!$A:$A,0)),"")</f>
        <v/>
      </c>
      <c r="BE118" s="147" t="str">
        <f t="shared" si="36"/>
        <v/>
      </c>
      <c r="BF118" s="147"/>
      <c r="BG118" s="147"/>
      <c r="BH118" s="151" t="str">
        <f>_xlfn.IFNA(INDEX(Constants!$B:$B,MATCH(BC118,Constants!A:A,0)),"")</f>
        <v/>
      </c>
      <c r="BI118" s="147" t="str">
        <f>IF(LEFT(B118,15)="Limited Company",Constants!$D$16,IFERROR(_xlfn.IFNA(IF(C118="Residential",IF(BK118&lt;75,INDEX(Constants!$B:$B,MATCH(VALUE(60)/100,Constants!$A:$A,0)),INDEX(Constants!$B:$B,MATCH(VALUE(BK118)/100,Constants!$A:$A,0))),IF(BK118&lt;60,INDEX(Constants!$C:$C,MATCH(VALUE(60)/100,Constants!$A:$A,0)),INDEX(Constants!$C:$C,MATCH(VALUE(BK118)/100,Constants!$A:$A,0)))),""),""))</f>
        <v/>
      </c>
      <c r="BJ118" s="147" t="str">
        <f t="shared" si="37"/>
        <v/>
      </c>
      <c r="BK118" s="147" t="str">
        <f>_xlfn.IFNA(VALUE(INDEX(Producer!$E:$E,MATCH($D118,Producer!$A:$A,0)))*100,"")</f>
        <v/>
      </c>
      <c r="BL118" s="146" t="str">
        <f>_xlfn.IFNA(IF(IFERROR(FIND("Part &amp; Part",B118),-10)&gt;0,"PP",IF(OR(LEFT(B118,25)="Residential Interest Only",INDEX(Producer!$P:$P,MATCH($D118,Producer!$A:$A,0))="IO",INDEX(Producer!$P:$P,MATCH($D118,Producer!$A:$A,0))="Retirement Interest Only"),"IO",IF($C118="BuyToLet","CI, IO","CI"))),"")</f>
        <v/>
      </c>
      <c r="BM118" s="152" t="str">
        <f>_xlfn.IFNA(IF(BL118="IO",100%,IF(AND(INDEX(Producer!$P:$P,MATCH($D118,Producer!$A:$A,0))="Residential Interest Only Part &amp; Part",BK118=75),80%,IF(C118="BuyToLet",100%,IF(BL118="Interest Only",100%,IF(AND(INDEX(Producer!$P:$P,MATCH($D118,Producer!$A:$A,0))="Residential Interest Only Part &amp; Part",BK118=60),100%,""))))),"")</f>
        <v/>
      </c>
      <c r="BN118" s="218" t="str">
        <f>_xlfn.IFNA(IF(VALUE(INDEX(Producer!$H:$H,MATCH($D118,Producer!$A:$A,0)))=0,"",VALUE(INDEX(Producer!$H:$H,MATCH($D118,Producer!$A:$A,0)))),"")</f>
        <v/>
      </c>
      <c r="BO118" s="153"/>
      <c r="BP118" s="153"/>
      <c r="BQ118" s="219" t="str">
        <f t="shared" si="38"/>
        <v/>
      </c>
      <c r="BR118" s="146"/>
      <c r="BS118" s="146"/>
      <c r="BT118" s="146"/>
      <c r="BU118" s="146"/>
      <c r="BV118" s="219" t="str">
        <f t="shared" si="39"/>
        <v/>
      </c>
      <c r="BW118" s="146"/>
      <c r="BX118" s="146"/>
      <c r="BY118" s="146" t="str">
        <f t="shared" si="40"/>
        <v/>
      </c>
      <c r="BZ118" s="146" t="str">
        <f t="shared" si="41"/>
        <v/>
      </c>
      <c r="CA118" s="146" t="str">
        <f t="shared" si="42"/>
        <v/>
      </c>
      <c r="CB118" s="146" t="str">
        <f t="shared" si="43"/>
        <v/>
      </c>
      <c r="CC118" s="146" t="str">
        <f>_xlfn.IFNA(IF(INDEX(Producer!$P:$P,MATCH($D118,Producer!$A:$A,0))="Help to Buy","Only available","No"),"")</f>
        <v/>
      </c>
      <c r="CD118" s="146" t="str">
        <f>_xlfn.IFNA(IF(INDEX(Producer!$P:$P,MATCH($D118,Producer!$A:$A,0))="Shared Ownership","Only available","No"),"")</f>
        <v/>
      </c>
      <c r="CE118" s="146" t="str">
        <f>_xlfn.IFNA(IF(INDEX(Producer!$P:$P,MATCH($D118,Producer!$A:$A,0))="Right to Buy","Only available","No"),"")</f>
        <v/>
      </c>
      <c r="CF118" s="146" t="str">
        <f t="shared" si="44"/>
        <v/>
      </c>
      <c r="CG118" s="146" t="str">
        <f>_xlfn.IFNA(IF(INDEX(Producer!$P:$P,MATCH($D118,Producer!$A:$A,0))="Retirement Interest Only","Only available","No"),"")</f>
        <v/>
      </c>
      <c r="CH118" s="146" t="str">
        <f t="shared" si="45"/>
        <v/>
      </c>
      <c r="CI118" s="146" t="str">
        <f>_xlfn.IFNA(IF(INDEX(Producer!$P:$P,MATCH($D118,Producer!$A:$A,0))="Intermediary Holiday Let","Only available","No"),"")</f>
        <v/>
      </c>
      <c r="CJ118" s="146" t="str">
        <f t="shared" si="46"/>
        <v/>
      </c>
      <c r="CK118" s="146" t="str">
        <f>_xlfn.IFNA(IF(OR(INDEX(Producer!$P:$P,MATCH($D118,Producer!$A:$A,0))="Intermediary Small HMO",INDEX(Producer!$P:$P,MATCH($D118,Producer!$A:$A,0))="Intermediary Large HMO"),"Only available","No"),"")</f>
        <v/>
      </c>
      <c r="CL118" s="146" t="str">
        <f t="shared" si="47"/>
        <v/>
      </c>
      <c r="CM118" s="146" t="str">
        <f t="shared" si="48"/>
        <v/>
      </c>
      <c r="CN118" s="146" t="str">
        <f t="shared" si="49"/>
        <v/>
      </c>
      <c r="CO118" s="146" t="str">
        <f t="shared" si="50"/>
        <v/>
      </c>
      <c r="CP118" s="146" t="str">
        <f t="shared" si="51"/>
        <v/>
      </c>
      <c r="CQ118" s="146" t="str">
        <f t="shared" si="52"/>
        <v/>
      </c>
      <c r="CR118" s="146" t="str">
        <f t="shared" si="53"/>
        <v/>
      </c>
      <c r="CS118" s="146" t="str">
        <f t="shared" si="54"/>
        <v/>
      </c>
      <c r="CT118" s="146" t="str">
        <f t="shared" si="55"/>
        <v/>
      </c>
      <c r="CU118" s="146"/>
    </row>
    <row r="119" spans="1:99" ht="16.399999999999999" customHeight="1" x14ac:dyDescent="0.35">
      <c r="A119" s="145" t="str">
        <f t="shared" si="28"/>
        <v/>
      </c>
      <c r="B119" s="145" t="str">
        <f>_xlfn.IFNA(_xlfn.CONCAT(INDEX(Producer!$P:$P,MATCH($D119,Producer!$A:$A,0))," ",IF(INDEX(Producer!$N:$N,MATCH($D119,Producer!$A:$A,0))="Yes","Green ",""),IF(AND(INDEX(Producer!$L:$L,MATCH($D119,Producer!$A:$A,0))="No",INDEX(Producer!$C:$C,MATCH($D119,Producer!$A:$A,0))="Fixed"),"Flexit ",""),INDEX(Producer!$B:$B,MATCH($D119,Producer!$A:$A,0))," Year ",INDEX(Producer!$C:$C,MATCH($D119,Producer!$A:$A,0))," ",VALUE(INDEX(Producer!$E:$E,MATCH($D119,Producer!$A:$A,0)))*100,"% LTV",IF(INDEX(Producer!$N:$N,MATCH($D119,Producer!$A:$A,0))="Yes"," (EPC A-C)","")," - ",IF(INDEX(Producer!$D:$D,MATCH($D119,Producer!$A:$A,0))="DLY","Daily","Annual")),"")</f>
        <v/>
      </c>
      <c r="C119" s="146" t="str">
        <f>_xlfn.IFNA(INDEX(Producer!$Q:$Q,MATCH($D119,Producer!$A:$A,0)),"")</f>
        <v/>
      </c>
      <c r="D119" s="146" t="str">
        <f>IFERROR(VALUE(MID(Producer!$R$2,IF($D118="",1/0,FIND(_xlfn.CONCAT($D117,$D118),Producer!$R$2)+10),5)),"")</f>
        <v/>
      </c>
      <c r="E119" s="146" t="str">
        <f t="shared" si="29"/>
        <v/>
      </c>
      <c r="F119" s="146"/>
      <c r="G119" s="147" t="str">
        <f>_xlfn.IFNA(VALUE(INDEX(Producer!$F:$F,MATCH($D119,Producer!$A:$A,0)))*100,"")</f>
        <v/>
      </c>
      <c r="H119" s="216" t="str">
        <f>_xlfn.IFNA(IFERROR(DATEVALUE(INDEX(Producer!$M:$M,MATCH($D119,Producer!$A:$A,0))),(INDEX(Producer!$M:$M,MATCH($D119,Producer!$A:$A,0)))),"")</f>
        <v/>
      </c>
      <c r="I119" s="217" t="str">
        <f>_xlfn.IFNA(VALUE(INDEX(Producer!$B:$B,MATCH($D119,Producer!$A:$A,0)))*12,"")</f>
        <v/>
      </c>
      <c r="J119" s="146" t="str">
        <f>_xlfn.IFNA(IF(C119="Residential",IF(VALUE(INDEX(Producer!$B:$B,MATCH($D119,Producer!$A:$A,0)))&lt;5,Constants!$C$10,""),IF(VALUE(INDEX(Producer!$B:$B,MATCH($D119,Producer!$A:$A,0)))&lt;5,Constants!$C$11,"")),"")</f>
        <v/>
      </c>
      <c r="K119" s="216" t="str">
        <f>_xlfn.IFNA(IF(($I119)&lt;60,DATE(YEAR(H119)+(5-VALUE(INDEX(Producer!$B:$B,MATCH($D119,Producer!$A:$A,0)))),MONTH(H119),DAY(H119)),""),"")</f>
        <v/>
      </c>
      <c r="L119" s="153" t="str">
        <f t="shared" si="30"/>
        <v/>
      </c>
      <c r="M119" s="146"/>
      <c r="N119" s="148"/>
      <c r="O119" s="148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 t="str">
        <f>IF(D119="","",IF(C119="Residential",Constants!$B$10,Constants!$B$11))</f>
        <v/>
      </c>
      <c r="AL119" s="146" t="str">
        <f t="shared" si="31"/>
        <v/>
      </c>
      <c r="AM119" s="206" t="str">
        <f t="shared" si="32"/>
        <v/>
      </c>
      <c r="AN119" s="146" t="str">
        <f t="shared" si="33"/>
        <v/>
      </c>
      <c r="AO119" s="149" t="str">
        <f t="shared" si="34"/>
        <v/>
      </c>
      <c r="AP119" s="150" t="str">
        <f t="shared" si="35"/>
        <v/>
      </c>
      <c r="AQ119" s="146" t="str">
        <f>IFERROR(_xlfn.IFNA(IF($BA119="No",0,IF(INDEX(Constants!B:B,MATCH(($I119/12),Constants!$A:$A,0))=0,0,INDEX(Constants!B:B,MATCH(($I119/12),Constants!$A:$A,0)))),0),"")</f>
        <v/>
      </c>
      <c r="AR119" s="146" t="str">
        <f>IFERROR(_xlfn.IFNA(IF($BA119="No",0,IF(INDEX(Constants!C:C,MATCH(($I119/12),Constants!$A:$A,0))=0,0,INDEX(Constants!C:C,MATCH(($I119/12),Constants!$A:$A,0)))),0),"")</f>
        <v/>
      </c>
      <c r="AS119" s="146" t="str">
        <f>IFERROR(_xlfn.IFNA(IF($BA119="No",0,IF(INDEX(Constants!D:D,MATCH(($I119/12),Constants!$A:$A,0))=0,0,INDEX(Constants!D:D,MATCH(($I119/12),Constants!$A:$A,0)))),0),"")</f>
        <v/>
      </c>
      <c r="AT119" s="146" t="str">
        <f>IFERROR(_xlfn.IFNA(IF($BA119="No",0,IF(INDEX(Constants!E:E,MATCH(($I119/12),Constants!$A:$A,0))=0,0,INDEX(Constants!E:E,MATCH(($I119/12),Constants!$A:$A,0)))),0),"")</f>
        <v/>
      </c>
      <c r="AU119" s="146" t="str">
        <f>IFERROR(_xlfn.IFNA(IF($BA119="No",0,IF(INDEX(Constants!F:F,MATCH(($I119/12),Constants!$A:$A,0))=0,0,INDEX(Constants!F:F,MATCH(($I119/12),Constants!$A:$A,0)))),0),"")</f>
        <v/>
      </c>
      <c r="AV119" s="146" t="str">
        <f>IFERROR(_xlfn.IFNA(IF($BA119="No",0,IF(INDEX(Constants!G:G,MATCH(($I119/12),Constants!$A:$A,0))=0,0,INDEX(Constants!G:G,MATCH(($I119/12),Constants!$A:$A,0)))),0),"")</f>
        <v/>
      </c>
      <c r="AW119" s="146" t="str">
        <f>IFERROR(_xlfn.IFNA(IF($BA119="No",0,IF(INDEX(Constants!H:H,MATCH(($I119/12),Constants!$A:$A,0))=0,0,INDEX(Constants!H:H,MATCH(($I119/12),Constants!$A:$A,0)))),0),"")</f>
        <v/>
      </c>
      <c r="AX119" s="146" t="str">
        <f>IFERROR(_xlfn.IFNA(IF($BA119="No",0,IF(INDEX(Constants!I:I,MATCH(($I119/12),Constants!$A:$A,0))=0,0,INDEX(Constants!I:I,MATCH(($I119/12),Constants!$A:$A,0)))),0),"")</f>
        <v/>
      </c>
      <c r="AY119" s="146" t="str">
        <f>IFERROR(_xlfn.IFNA(IF($BA119="No",0,IF(INDEX(Constants!J:J,MATCH(($I119/12),Constants!$A:$A,0))=0,0,INDEX(Constants!J:J,MATCH(($I119/12),Constants!$A:$A,0)))),0),"")</f>
        <v/>
      </c>
      <c r="AZ119" s="146" t="str">
        <f>IFERROR(_xlfn.IFNA(IF($BA119="No",0,IF(INDEX(Constants!K:K,MATCH(($I119/12),Constants!$A:$A,0))=0,0,INDEX(Constants!K:K,MATCH(($I119/12),Constants!$A:$A,0)))),0),"")</f>
        <v/>
      </c>
      <c r="BA119" s="147" t="str">
        <f>_xlfn.IFNA(INDEX(Producer!$L:$L,MATCH($D119,Producer!$A:$A,0)),"")</f>
        <v/>
      </c>
      <c r="BB119" s="146" t="str">
        <f>IFERROR(IF(AQ119=0,"",IF(($I119/12)=15,_xlfn.CONCAT(Constants!$N$7,TEXT(DATE(YEAR(H119)-(($I119/12)-3),MONTH(H119),DAY(H119)),"dd/mm/yyyy"),", ",Constants!$P$7,TEXT(DATE(YEAR(H119)-(($I119/12)-8),MONTH(H119),DAY(H119)),"dd/mm/yyyy"),", ",Constants!$T$7,TEXT(DATE(YEAR(H119)-(($I119/12)-11),MONTH(H119),DAY(H119)),"dd/mm/yyyy"),", ",Constants!$V$7,TEXT(DATE(YEAR(H119)-(($I119/12)-13),MONTH(H119),DAY(H119)),"dd/mm/yyyy"),", ",Constants!$W$7,TEXT($H119,"dd/mm/yyyy")),IF(($I119/12)=10,_xlfn.CONCAT(Constants!$N$6,TEXT(DATE(YEAR(H119)-(($I119/12)-2),MONTH(H119),DAY(H119)),"dd/mm/yyyy"),", ",Constants!$P$6,TEXT(DATE(YEAR(H119)-(($I119/12)-6),MONTH(H119),DAY(H119)),"dd/mm/yyyy"),", ",Constants!$T$6,TEXT(DATE(YEAR(H119)-(($I119/12)-8),MONTH(H119),DAY(H119)),"dd/mm/yyyy"),", ",Constants!$V$6,TEXT(DATE(YEAR(H119)-(($I119/12)-9),MONTH(H119),DAY(H119)),"dd/mm/yyyy"),", ",Constants!$W$6,TEXT($H119,"dd/mm/yyyy")),IF(($I119/12)=5,_xlfn.CONCAT(Constants!$N$5,TEXT(DATE(YEAR(H119)-(($I119/12)-1),MONTH(H119),DAY(H119)),"dd/mm/yyyy"),", ",Constants!$O$5,TEXT(DATE(YEAR(H119)-(($I119/12)-2),MONTH(H119),DAY(H119)),"dd/mm/yyyy"),", ",Constants!$P$5,TEXT(DATE(YEAR(H119)-(($I119/12)-3),MONTH(H119),DAY(H119)),"dd/mm/yyyy"),", ",Constants!$Q$5,TEXT(DATE(YEAR(H119)-(($I119/12)-4),MONTH(H119),DAY(H119)),"dd/mm/yyyy"),", ",Constants!$R$5,TEXT($H119,"dd/mm/yyyy")),IF(($I119/12)=3,_xlfn.CONCAT(Constants!$N$4,TEXT(DATE(YEAR(H119)-(($I119/12)-1),MONTH(H119),DAY(H119)),"dd/mm/yyyy"),", ",Constants!$O$4,TEXT(DATE(YEAR(H119)-(($I119/12)-2),MONTH(H119),DAY(H119)),"dd/mm/yyyy"),", ",Constants!$P$4,TEXT($H119,"dd/mm/yyyy")),IF(($I119/12)=2,_xlfn.CONCAT(Constants!$N$3,TEXT(DATE(YEAR(H119)-(($I119/12)-1),MONTH(H119),DAY(H119)),"dd/mm/yyyy"),", ",Constants!$O$3,TEXT($H119,"dd/mm/yyyy")),IF(($I119/12)=1,_xlfn.CONCAT(Constants!$N$2,TEXT($H119,"dd/mm/yyyy")),"Update Constants"))))))),"")</f>
        <v/>
      </c>
      <c r="BC119" s="147" t="str">
        <f>_xlfn.IFNA(VALUE(INDEX(Producer!$K:$K,MATCH($D119,Producer!$A:$A,0))),"")</f>
        <v/>
      </c>
      <c r="BD119" s="147" t="str">
        <f>_xlfn.IFNA(INDEX(Producer!$I:$I,MATCH($D119,Producer!$A:$A,0)),"")</f>
        <v/>
      </c>
      <c r="BE119" s="147" t="str">
        <f t="shared" si="36"/>
        <v/>
      </c>
      <c r="BF119" s="147"/>
      <c r="BG119" s="147"/>
      <c r="BH119" s="151" t="str">
        <f>_xlfn.IFNA(INDEX(Constants!$B:$B,MATCH(BC119,Constants!A:A,0)),"")</f>
        <v/>
      </c>
      <c r="BI119" s="147" t="str">
        <f>IF(LEFT(B119,15)="Limited Company",Constants!$D$16,IFERROR(_xlfn.IFNA(IF(C119="Residential",IF(BK119&lt;75,INDEX(Constants!$B:$B,MATCH(VALUE(60)/100,Constants!$A:$A,0)),INDEX(Constants!$B:$B,MATCH(VALUE(BK119)/100,Constants!$A:$A,0))),IF(BK119&lt;60,INDEX(Constants!$C:$C,MATCH(VALUE(60)/100,Constants!$A:$A,0)),INDEX(Constants!$C:$C,MATCH(VALUE(BK119)/100,Constants!$A:$A,0)))),""),""))</f>
        <v/>
      </c>
      <c r="BJ119" s="147" t="str">
        <f t="shared" si="37"/>
        <v/>
      </c>
      <c r="BK119" s="147" t="str">
        <f>_xlfn.IFNA(VALUE(INDEX(Producer!$E:$E,MATCH($D119,Producer!$A:$A,0)))*100,"")</f>
        <v/>
      </c>
      <c r="BL119" s="146" t="str">
        <f>_xlfn.IFNA(IF(IFERROR(FIND("Part &amp; Part",B119),-10)&gt;0,"PP",IF(OR(LEFT(B119,25)="Residential Interest Only",INDEX(Producer!$P:$P,MATCH($D119,Producer!$A:$A,0))="IO",INDEX(Producer!$P:$P,MATCH($D119,Producer!$A:$A,0))="Retirement Interest Only"),"IO",IF($C119="BuyToLet","CI, IO","CI"))),"")</f>
        <v/>
      </c>
      <c r="BM119" s="152" t="str">
        <f>_xlfn.IFNA(IF(BL119="IO",100%,IF(AND(INDEX(Producer!$P:$P,MATCH($D119,Producer!$A:$A,0))="Residential Interest Only Part &amp; Part",BK119=75),80%,IF(C119="BuyToLet",100%,IF(BL119="Interest Only",100%,IF(AND(INDEX(Producer!$P:$P,MATCH($D119,Producer!$A:$A,0))="Residential Interest Only Part &amp; Part",BK119=60),100%,""))))),"")</f>
        <v/>
      </c>
      <c r="BN119" s="218" t="str">
        <f>_xlfn.IFNA(IF(VALUE(INDEX(Producer!$H:$H,MATCH($D119,Producer!$A:$A,0)))=0,"",VALUE(INDEX(Producer!$H:$H,MATCH($D119,Producer!$A:$A,0)))),"")</f>
        <v/>
      </c>
      <c r="BO119" s="153"/>
      <c r="BP119" s="153"/>
      <c r="BQ119" s="219" t="str">
        <f t="shared" si="38"/>
        <v/>
      </c>
      <c r="BR119" s="146"/>
      <c r="BS119" s="146"/>
      <c r="BT119" s="146"/>
      <c r="BU119" s="146"/>
      <c r="BV119" s="219" t="str">
        <f t="shared" si="39"/>
        <v/>
      </c>
      <c r="BW119" s="146"/>
      <c r="BX119" s="146"/>
      <c r="BY119" s="146" t="str">
        <f t="shared" si="40"/>
        <v/>
      </c>
      <c r="BZ119" s="146" t="str">
        <f t="shared" si="41"/>
        <v/>
      </c>
      <c r="CA119" s="146" t="str">
        <f t="shared" si="42"/>
        <v/>
      </c>
      <c r="CB119" s="146" t="str">
        <f t="shared" si="43"/>
        <v/>
      </c>
      <c r="CC119" s="146" t="str">
        <f>_xlfn.IFNA(IF(INDEX(Producer!$P:$P,MATCH($D119,Producer!$A:$A,0))="Help to Buy","Only available","No"),"")</f>
        <v/>
      </c>
      <c r="CD119" s="146" t="str">
        <f>_xlfn.IFNA(IF(INDEX(Producer!$P:$P,MATCH($D119,Producer!$A:$A,0))="Shared Ownership","Only available","No"),"")</f>
        <v/>
      </c>
      <c r="CE119" s="146" t="str">
        <f>_xlfn.IFNA(IF(INDEX(Producer!$P:$P,MATCH($D119,Producer!$A:$A,0))="Right to Buy","Only available","No"),"")</f>
        <v/>
      </c>
      <c r="CF119" s="146" t="str">
        <f t="shared" si="44"/>
        <v/>
      </c>
      <c r="CG119" s="146" t="str">
        <f>_xlfn.IFNA(IF(INDEX(Producer!$P:$P,MATCH($D119,Producer!$A:$A,0))="Retirement Interest Only","Only available","No"),"")</f>
        <v/>
      </c>
      <c r="CH119" s="146" t="str">
        <f t="shared" si="45"/>
        <v/>
      </c>
      <c r="CI119" s="146" t="str">
        <f>_xlfn.IFNA(IF(INDEX(Producer!$P:$P,MATCH($D119,Producer!$A:$A,0))="Intermediary Holiday Let","Only available","No"),"")</f>
        <v/>
      </c>
      <c r="CJ119" s="146" t="str">
        <f t="shared" si="46"/>
        <v/>
      </c>
      <c r="CK119" s="146" t="str">
        <f>_xlfn.IFNA(IF(OR(INDEX(Producer!$P:$P,MATCH($D119,Producer!$A:$A,0))="Intermediary Small HMO",INDEX(Producer!$P:$P,MATCH($D119,Producer!$A:$A,0))="Intermediary Large HMO"),"Only available","No"),"")</f>
        <v/>
      </c>
      <c r="CL119" s="146" t="str">
        <f t="shared" si="47"/>
        <v/>
      </c>
      <c r="CM119" s="146" t="str">
        <f t="shared" si="48"/>
        <v/>
      </c>
      <c r="CN119" s="146" t="str">
        <f t="shared" si="49"/>
        <v/>
      </c>
      <c r="CO119" s="146" t="str">
        <f t="shared" si="50"/>
        <v/>
      </c>
      <c r="CP119" s="146" t="str">
        <f t="shared" si="51"/>
        <v/>
      </c>
      <c r="CQ119" s="146" t="str">
        <f t="shared" si="52"/>
        <v/>
      </c>
      <c r="CR119" s="146" t="str">
        <f t="shared" si="53"/>
        <v/>
      </c>
      <c r="CS119" s="146" t="str">
        <f t="shared" si="54"/>
        <v/>
      </c>
      <c r="CT119" s="146" t="str">
        <f t="shared" si="55"/>
        <v/>
      </c>
      <c r="CU119" s="146"/>
    </row>
    <row r="120" spans="1:99" ht="16.399999999999999" customHeight="1" x14ac:dyDescent="0.35">
      <c r="A120" s="145" t="str">
        <f t="shared" si="28"/>
        <v/>
      </c>
      <c r="B120" s="145" t="str">
        <f>_xlfn.IFNA(_xlfn.CONCAT(INDEX(Producer!$P:$P,MATCH($D120,Producer!$A:$A,0))," ",IF(INDEX(Producer!$N:$N,MATCH($D120,Producer!$A:$A,0))="Yes","Green ",""),IF(AND(INDEX(Producer!$L:$L,MATCH($D120,Producer!$A:$A,0))="No",INDEX(Producer!$C:$C,MATCH($D120,Producer!$A:$A,0))="Fixed"),"Flexit ",""),INDEX(Producer!$B:$B,MATCH($D120,Producer!$A:$A,0))," Year ",INDEX(Producer!$C:$C,MATCH($D120,Producer!$A:$A,0))," ",VALUE(INDEX(Producer!$E:$E,MATCH($D120,Producer!$A:$A,0)))*100,"% LTV",IF(INDEX(Producer!$N:$N,MATCH($D120,Producer!$A:$A,0))="Yes"," (EPC A-C)","")," - ",IF(INDEX(Producer!$D:$D,MATCH($D120,Producer!$A:$A,0))="DLY","Daily","Annual")),"")</f>
        <v/>
      </c>
      <c r="C120" s="146" t="str">
        <f>_xlfn.IFNA(INDEX(Producer!$Q:$Q,MATCH($D120,Producer!$A:$A,0)),"")</f>
        <v/>
      </c>
      <c r="D120" s="146" t="str">
        <f>IFERROR(VALUE(MID(Producer!$R$2,IF($D119="",1/0,FIND(_xlfn.CONCAT($D118,$D119),Producer!$R$2)+10),5)),"")</f>
        <v/>
      </c>
      <c r="E120" s="146" t="str">
        <f t="shared" si="29"/>
        <v/>
      </c>
      <c r="F120" s="146"/>
      <c r="G120" s="147" t="str">
        <f>_xlfn.IFNA(VALUE(INDEX(Producer!$F:$F,MATCH($D120,Producer!$A:$A,0)))*100,"")</f>
        <v/>
      </c>
      <c r="H120" s="216" t="str">
        <f>_xlfn.IFNA(IFERROR(DATEVALUE(INDEX(Producer!$M:$M,MATCH($D120,Producer!$A:$A,0))),(INDEX(Producer!$M:$M,MATCH($D120,Producer!$A:$A,0)))),"")</f>
        <v/>
      </c>
      <c r="I120" s="217" t="str">
        <f>_xlfn.IFNA(VALUE(INDEX(Producer!$B:$B,MATCH($D120,Producer!$A:$A,0)))*12,"")</f>
        <v/>
      </c>
      <c r="J120" s="146" t="str">
        <f>_xlfn.IFNA(IF(C120="Residential",IF(VALUE(INDEX(Producer!$B:$B,MATCH($D120,Producer!$A:$A,0)))&lt;5,Constants!$C$10,""),IF(VALUE(INDEX(Producer!$B:$B,MATCH($D120,Producer!$A:$A,0)))&lt;5,Constants!$C$11,"")),"")</f>
        <v/>
      </c>
      <c r="K120" s="216" t="str">
        <f>_xlfn.IFNA(IF(($I120)&lt;60,DATE(YEAR(H120)+(5-VALUE(INDEX(Producer!$B:$B,MATCH($D120,Producer!$A:$A,0)))),MONTH(H120),DAY(H120)),""),"")</f>
        <v/>
      </c>
      <c r="L120" s="153" t="str">
        <f t="shared" si="30"/>
        <v/>
      </c>
      <c r="M120" s="146"/>
      <c r="N120" s="148"/>
      <c r="O120" s="148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 t="str">
        <f>IF(D120="","",IF(C120="Residential",Constants!$B$10,Constants!$B$11))</f>
        <v/>
      </c>
      <c r="AL120" s="146" t="str">
        <f t="shared" si="31"/>
        <v/>
      </c>
      <c r="AM120" s="206" t="str">
        <f t="shared" si="32"/>
        <v/>
      </c>
      <c r="AN120" s="146" t="str">
        <f t="shared" si="33"/>
        <v/>
      </c>
      <c r="AO120" s="149" t="str">
        <f t="shared" si="34"/>
        <v/>
      </c>
      <c r="AP120" s="150" t="str">
        <f t="shared" si="35"/>
        <v/>
      </c>
      <c r="AQ120" s="146" t="str">
        <f>IFERROR(_xlfn.IFNA(IF($BA120="No",0,IF(INDEX(Constants!B:B,MATCH(($I120/12),Constants!$A:$A,0))=0,0,INDEX(Constants!B:B,MATCH(($I120/12),Constants!$A:$A,0)))),0),"")</f>
        <v/>
      </c>
      <c r="AR120" s="146" t="str">
        <f>IFERROR(_xlfn.IFNA(IF($BA120="No",0,IF(INDEX(Constants!C:C,MATCH(($I120/12),Constants!$A:$A,0))=0,0,INDEX(Constants!C:C,MATCH(($I120/12),Constants!$A:$A,0)))),0),"")</f>
        <v/>
      </c>
      <c r="AS120" s="146" t="str">
        <f>IFERROR(_xlfn.IFNA(IF($BA120="No",0,IF(INDEX(Constants!D:D,MATCH(($I120/12),Constants!$A:$A,0))=0,0,INDEX(Constants!D:D,MATCH(($I120/12),Constants!$A:$A,0)))),0),"")</f>
        <v/>
      </c>
      <c r="AT120" s="146" t="str">
        <f>IFERROR(_xlfn.IFNA(IF($BA120="No",0,IF(INDEX(Constants!E:E,MATCH(($I120/12),Constants!$A:$A,0))=0,0,INDEX(Constants!E:E,MATCH(($I120/12),Constants!$A:$A,0)))),0),"")</f>
        <v/>
      </c>
      <c r="AU120" s="146" t="str">
        <f>IFERROR(_xlfn.IFNA(IF($BA120="No",0,IF(INDEX(Constants!F:F,MATCH(($I120/12),Constants!$A:$A,0))=0,0,INDEX(Constants!F:F,MATCH(($I120/12),Constants!$A:$A,0)))),0),"")</f>
        <v/>
      </c>
      <c r="AV120" s="146" t="str">
        <f>IFERROR(_xlfn.IFNA(IF($BA120="No",0,IF(INDEX(Constants!G:G,MATCH(($I120/12),Constants!$A:$A,0))=0,0,INDEX(Constants!G:G,MATCH(($I120/12),Constants!$A:$A,0)))),0),"")</f>
        <v/>
      </c>
      <c r="AW120" s="146" t="str">
        <f>IFERROR(_xlfn.IFNA(IF($BA120="No",0,IF(INDEX(Constants!H:H,MATCH(($I120/12),Constants!$A:$A,0))=0,0,INDEX(Constants!H:H,MATCH(($I120/12),Constants!$A:$A,0)))),0),"")</f>
        <v/>
      </c>
      <c r="AX120" s="146" t="str">
        <f>IFERROR(_xlfn.IFNA(IF($BA120="No",0,IF(INDEX(Constants!I:I,MATCH(($I120/12),Constants!$A:$A,0))=0,0,INDEX(Constants!I:I,MATCH(($I120/12),Constants!$A:$A,0)))),0),"")</f>
        <v/>
      </c>
      <c r="AY120" s="146" t="str">
        <f>IFERROR(_xlfn.IFNA(IF($BA120="No",0,IF(INDEX(Constants!J:J,MATCH(($I120/12),Constants!$A:$A,0))=0,0,INDEX(Constants!J:J,MATCH(($I120/12),Constants!$A:$A,0)))),0),"")</f>
        <v/>
      </c>
      <c r="AZ120" s="146" t="str">
        <f>IFERROR(_xlfn.IFNA(IF($BA120="No",0,IF(INDEX(Constants!K:K,MATCH(($I120/12),Constants!$A:$A,0))=0,0,INDEX(Constants!K:K,MATCH(($I120/12),Constants!$A:$A,0)))),0),"")</f>
        <v/>
      </c>
      <c r="BA120" s="147" t="str">
        <f>_xlfn.IFNA(INDEX(Producer!$L:$L,MATCH($D120,Producer!$A:$A,0)),"")</f>
        <v/>
      </c>
      <c r="BB120" s="146" t="str">
        <f>IFERROR(IF(AQ120=0,"",IF(($I120/12)=15,_xlfn.CONCAT(Constants!$N$7,TEXT(DATE(YEAR(H120)-(($I120/12)-3),MONTH(H120),DAY(H120)),"dd/mm/yyyy"),", ",Constants!$P$7,TEXT(DATE(YEAR(H120)-(($I120/12)-8),MONTH(H120),DAY(H120)),"dd/mm/yyyy"),", ",Constants!$T$7,TEXT(DATE(YEAR(H120)-(($I120/12)-11),MONTH(H120),DAY(H120)),"dd/mm/yyyy"),", ",Constants!$V$7,TEXT(DATE(YEAR(H120)-(($I120/12)-13),MONTH(H120),DAY(H120)),"dd/mm/yyyy"),", ",Constants!$W$7,TEXT($H120,"dd/mm/yyyy")),IF(($I120/12)=10,_xlfn.CONCAT(Constants!$N$6,TEXT(DATE(YEAR(H120)-(($I120/12)-2),MONTH(H120),DAY(H120)),"dd/mm/yyyy"),", ",Constants!$P$6,TEXT(DATE(YEAR(H120)-(($I120/12)-6),MONTH(H120),DAY(H120)),"dd/mm/yyyy"),", ",Constants!$T$6,TEXT(DATE(YEAR(H120)-(($I120/12)-8),MONTH(H120),DAY(H120)),"dd/mm/yyyy"),", ",Constants!$V$6,TEXT(DATE(YEAR(H120)-(($I120/12)-9),MONTH(H120),DAY(H120)),"dd/mm/yyyy"),", ",Constants!$W$6,TEXT($H120,"dd/mm/yyyy")),IF(($I120/12)=5,_xlfn.CONCAT(Constants!$N$5,TEXT(DATE(YEAR(H120)-(($I120/12)-1),MONTH(H120),DAY(H120)),"dd/mm/yyyy"),", ",Constants!$O$5,TEXT(DATE(YEAR(H120)-(($I120/12)-2),MONTH(H120),DAY(H120)),"dd/mm/yyyy"),", ",Constants!$P$5,TEXT(DATE(YEAR(H120)-(($I120/12)-3),MONTH(H120),DAY(H120)),"dd/mm/yyyy"),", ",Constants!$Q$5,TEXT(DATE(YEAR(H120)-(($I120/12)-4),MONTH(H120),DAY(H120)),"dd/mm/yyyy"),", ",Constants!$R$5,TEXT($H120,"dd/mm/yyyy")),IF(($I120/12)=3,_xlfn.CONCAT(Constants!$N$4,TEXT(DATE(YEAR(H120)-(($I120/12)-1),MONTH(H120),DAY(H120)),"dd/mm/yyyy"),", ",Constants!$O$4,TEXT(DATE(YEAR(H120)-(($I120/12)-2),MONTH(H120),DAY(H120)),"dd/mm/yyyy"),", ",Constants!$P$4,TEXT($H120,"dd/mm/yyyy")),IF(($I120/12)=2,_xlfn.CONCAT(Constants!$N$3,TEXT(DATE(YEAR(H120)-(($I120/12)-1),MONTH(H120),DAY(H120)),"dd/mm/yyyy"),", ",Constants!$O$3,TEXT($H120,"dd/mm/yyyy")),IF(($I120/12)=1,_xlfn.CONCAT(Constants!$N$2,TEXT($H120,"dd/mm/yyyy")),"Update Constants"))))))),"")</f>
        <v/>
      </c>
      <c r="BC120" s="147" t="str">
        <f>_xlfn.IFNA(VALUE(INDEX(Producer!$K:$K,MATCH($D120,Producer!$A:$A,0))),"")</f>
        <v/>
      </c>
      <c r="BD120" s="147" t="str">
        <f>_xlfn.IFNA(INDEX(Producer!$I:$I,MATCH($D120,Producer!$A:$A,0)),"")</f>
        <v/>
      </c>
      <c r="BE120" s="147" t="str">
        <f t="shared" si="36"/>
        <v/>
      </c>
      <c r="BF120" s="147"/>
      <c r="BG120" s="147"/>
      <c r="BH120" s="151" t="str">
        <f>_xlfn.IFNA(INDEX(Constants!$B:$B,MATCH(BC120,Constants!A:A,0)),"")</f>
        <v/>
      </c>
      <c r="BI120" s="147" t="str">
        <f>IF(LEFT(B120,15)="Limited Company",Constants!$D$16,IFERROR(_xlfn.IFNA(IF(C120="Residential",IF(BK120&lt;75,INDEX(Constants!$B:$B,MATCH(VALUE(60)/100,Constants!$A:$A,0)),INDEX(Constants!$B:$B,MATCH(VALUE(BK120)/100,Constants!$A:$A,0))),IF(BK120&lt;60,INDEX(Constants!$C:$C,MATCH(VALUE(60)/100,Constants!$A:$A,0)),INDEX(Constants!$C:$C,MATCH(VALUE(BK120)/100,Constants!$A:$A,0)))),""),""))</f>
        <v/>
      </c>
      <c r="BJ120" s="147" t="str">
        <f t="shared" si="37"/>
        <v/>
      </c>
      <c r="BK120" s="147" t="str">
        <f>_xlfn.IFNA(VALUE(INDEX(Producer!$E:$E,MATCH($D120,Producer!$A:$A,0)))*100,"")</f>
        <v/>
      </c>
      <c r="BL120" s="146" t="str">
        <f>_xlfn.IFNA(IF(IFERROR(FIND("Part &amp; Part",B120),-10)&gt;0,"PP",IF(OR(LEFT(B120,25)="Residential Interest Only",INDEX(Producer!$P:$P,MATCH($D120,Producer!$A:$A,0))="IO",INDEX(Producer!$P:$P,MATCH($D120,Producer!$A:$A,0))="Retirement Interest Only"),"IO",IF($C120="BuyToLet","CI, IO","CI"))),"")</f>
        <v/>
      </c>
      <c r="BM120" s="152" t="str">
        <f>_xlfn.IFNA(IF(BL120="IO",100%,IF(AND(INDEX(Producer!$P:$P,MATCH($D120,Producer!$A:$A,0))="Residential Interest Only Part &amp; Part",BK120=75),80%,IF(C120="BuyToLet",100%,IF(BL120="Interest Only",100%,IF(AND(INDEX(Producer!$P:$P,MATCH($D120,Producer!$A:$A,0))="Residential Interest Only Part &amp; Part",BK120=60),100%,""))))),"")</f>
        <v/>
      </c>
      <c r="BN120" s="218" t="str">
        <f>_xlfn.IFNA(IF(VALUE(INDEX(Producer!$H:$H,MATCH($D120,Producer!$A:$A,0)))=0,"",VALUE(INDEX(Producer!$H:$H,MATCH($D120,Producer!$A:$A,0)))),"")</f>
        <v/>
      </c>
      <c r="BO120" s="153"/>
      <c r="BP120" s="153"/>
      <c r="BQ120" s="219" t="str">
        <f t="shared" si="38"/>
        <v/>
      </c>
      <c r="BR120" s="146"/>
      <c r="BS120" s="146"/>
      <c r="BT120" s="146"/>
      <c r="BU120" s="146"/>
      <c r="BV120" s="219" t="str">
        <f t="shared" si="39"/>
        <v/>
      </c>
      <c r="BW120" s="146"/>
      <c r="BX120" s="146"/>
      <c r="BY120" s="146" t="str">
        <f t="shared" si="40"/>
        <v/>
      </c>
      <c r="BZ120" s="146" t="str">
        <f t="shared" si="41"/>
        <v/>
      </c>
      <c r="CA120" s="146" t="str">
        <f t="shared" si="42"/>
        <v/>
      </c>
      <c r="CB120" s="146" t="str">
        <f t="shared" si="43"/>
        <v/>
      </c>
      <c r="CC120" s="146" t="str">
        <f>_xlfn.IFNA(IF(INDEX(Producer!$P:$P,MATCH($D120,Producer!$A:$A,0))="Help to Buy","Only available","No"),"")</f>
        <v/>
      </c>
      <c r="CD120" s="146" t="str">
        <f>_xlfn.IFNA(IF(INDEX(Producer!$P:$P,MATCH($D120,Producer!$A:$A,0))="Shared Ownership","Only available","No"),"")</f>
        <v/>
      </c>
      <c r="CE120" s="146" t="str">
        <f>_xlfn.IFNA(IF(INDEX(Producer!$P:$P,MATCH($D120,Producer!$A:$A,0))="Right to Buy","Only available","No"),"")</f>
        <v/>
      </c>
      <c r="CF120" s="146" t="str">
        <f t="shared" si="44"/>
        <v/>
      </c>
      <c r="CG120" s="146" t="str">
        <f>_xlfn.IFNA(IF(INDEX(Producer!$P:$P,MATCH($D120,Producer!$A:$A,0))="Retirement Interest Only","Only available","No"),"")</f>
        <v/>
      </c>
      <c r="CH120" s="146" t="str">
        <f t="shared" si="45"/>
        <v/>
      </c>
      <c r="CI120" s="146" t="str">
        <f>_xlfn.IFNA(IF(INDEX(Producer!$P:$P,MATCH($D120,Producer!$A:$A,0))="Intermediary Holiday Let","Only available","No"),"")</f>
        <v/>
      </c>
      <c r="CJ120" s="146" t="str">
        <f t="shared" si="46"/>
        <v/>
      </c>
      <c r="CK120" s="146" t="str">
        <f>_xlfn.IFNA(IF(OR(INDEX(Producer!$P:$P,MATCH($D120,Producer!$A:$A,0))="Intermediary Small HMO",INDEX(Producer!$P:$P,MATCH($D120,Producer!$A:$A,0))="Intermediary Large HMO"),"Only available","No"),"")</f>
        <v/>
      </c>
      <c r="CL120" s="146" t="str">
        <f t="shared" si="47"/>
        <v/>
      </c>
      <c r="CM120" s="146" t="str">
        <f t="shared" si="48"/>
        <v/>
      </c>
      <c r="CN120" s="146" t="str">
        <f t="shared" si="49"/>
        <v/>
      </c>
      <c r="CO120" s="146" t="str">
        <f t="shared" si="50"/>
        <v/>
      </c>
      <c r="CP120" s="146" t="str">
        <f t="shared" si="51"/>
        <v/>
      </c>
      <c r="CQ120" s="146" t="str">
        <f t="shared" si="52"/>
        <v/>
      </c>
      <c r="CR120" s="146" t="str">
        <f t="shared" si="53"/>
        <v/>
      </c>
      <c r="CS120" s="146" t="str">
        <f t="shared" si="54"/>
        <v/>
      </c>
      <c r="CT120" s="146" t="str">
        <f t="shared" si="55"/>
        <v/>
      </c>
      <c r="CU120" s="146"/>
    </row>
    <row r="121" spans="1:99" ht="16.399999999999999" customHeight="1" x14ac:dyDescent="0.35">
      <c r="A121" s="145" t="str">
        <f t="shared" si="28"/>
        <v/>
      </c>
      <c r="B121" s="145" t="str">
        <f>_xlfn.IFNA(_xlfn.CONCAT(INDEX(Producer!$P:$P,MATCH($D121,Producer!$A:$A,0))," ",IF(INDEX(Producer!$N:$N,MATCH($D121,Producer!$A:$A,0))="Yes","Green ",""),IF(AND(INDEX(Producer!$L:$L,MATCH($D121,Producer!$A:$A,0))="No",INDEX(Producer!$C:$C,MATCH($D121,Producer!$A:$A,0))="Fixed"),"Flexit ",""),INDEX(Producer!$B:$B,MATCH($D121,Producer!$A:$A,0))," Year ",INDEX(Producer!$C:$C,MATCH($D121,Producer!$A:$A,0))," ",VALUE(INDEX(Producer!$E:$E,MATCH($D121,Producer!$A:$A,0)))*100,"% LTV",IF(INDEX(Producer!$N:$N,MATCH($D121,Producer!$A:$A,0))="Yes"," (EPC A-C)","")," - ",IF(INDEX(Producer!$D:$D,MATCH($D121,Producer!$A:$A,0))="DLY","Daily","Annual")),"")</f>
        <v/>
      </c>
      <c r="C121" s="146" t="str">
        <f>_xlfn.IFNA(INDEX(Producer!$Q:$Q,MATCH($D121,Producer!$A:$A,0)),"")</f>
        <v/>
      </c>
      <c r="D121" s="146" t="str">
        <f>IFERROR(VALUE(MID(Producer!$R$2,IF($D120="",1/0,FIND(_xlfn.CONCAT($D119,$D120),Producer!$R$2)+10),5)),"")</f>
        <v/>
      </c>
      <c r="E121" s="146" t="str">
        <f t="shared" si="29"/>
        <v/>
      </c>
      <c r="F121" s="146"/>
      <c r="G121" s="147" t="str">
        <f>_xlfn.IFNA(VALUE(INDEX(Producer!$F:$F,MATCH($D121,Producer!$A:$A,0)))*100,"")</f>
        <v/>
      </c>
      <c r="H121" s="216" t="str">
        <f>_xlfn.IFNA(IFERROR(DATEVALUE(INDEX(Producer!$M:$M,MATCH($D121,Producer!$A:$A,0))),(INDEX(Producer!$M:$M,MATCH($D121,Producer!$A:$A,0)))),"")</f>
        <v/>
      </c>
      <c r="I121" s="217" t="str">
        <f>_xlfn.IFNA(VALUE(INDEX(Producer!$B:$B,MATCH($D121,Producer!$A:$A,0)))*12,"")</f>
        <v/>
      </c>
      <c r="J121" s="146" t="str">
        <f>_xlfn.IFNA(IF(C121="Residential",IF(VALUE(INDEX(Producer!$B:$B,MATCH($D121,Producer!$A:$A,0)))&lt;5,Constants!$C$10,""),IF(VALUE(INDEX(Producer!$B:$B,MATCH($D121,Producer!$A:$A,0)))&lt;5,Constants!$C$11,"")),"")</f>
        <v/>
      </c>
      <c r="K121" s="216" t="str">
        <f>_xlfn.IFNA(IF(($I121)&lt;60,DATE(YEAR(H121)+(5-VALUE(INDEX(Producer!$B:$B,MATCH($D121,Producer!$A:$A,0)))),MONTH(H121),DAY(H121)),""),"")</f>
        <v/>
      </c>
      <c r="L121" s="153" t="str">
        <f t="shared" si="30"/>
        <v/>
      </c>
      <c r="M121" s="146"/>
      <c r="N121" s="148"/>
      <c r="O121" s="148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 t="str">
        <f>IF(D121="","",IF(C121="Residential",Constants!$B$10,Constants!$B$11))</f>
        <v/>
      </c>
      <c r="AL121" s="146" t="str">
        <f t="shared" si="31"/>
        <v/>
      </c>
      <c r="AM121" s="206" t="str">
        <f t="shared" si="32"/>
        <v/>
      </c>
      <c r="AN121" s="146" t="str">
        <f t="shared" si="33"/>
        <v/>
      </c>
      <c r="AO121" s="149" t="str">
        <f t="shared" si="34"/>
        <v/>
      </c>
      <c r="AP121" s="150" t="str">
        <f t="shared" si="35"/>
        <v/>
      </c>
      <c r="AQ121" s="146" t="str">
        <f>IFERROR(_xlfn.IFNA(IF($BA121="No",0,IF(INDEX(Constants!B:B,MATCH(($I121/12),Constants!$A:$A,0))=0,0,INDEX(Constants!B:B,MATCH(($I121/12),Constants!$A:$A,0)))),0),"")</f>
        <v/>
      </c>
      <c r="AR121" s="146" t="str">
        <f>IFERROR(_xlfn.IFNA(IF($BA121="No",0,IF(INDEX(Constants!C:C,MATCH(($I121/12),Constants!$A:$A,0))=0,0,INDEX(Constants!C:C,MATCH(($I121/12),Constants!$A:$A,0)))),0),"")</f>
        <v/>
      </c>
      <c r="AS121" s="146" t="str">
        <f>IFERROR(_xlfn.IFNA(IF($BA121="No",0,IF(INDEX(Constants!D:D,MATCH(($I121/12),Constants!$A:$A,0))=0,0,INDEX(Constants!D:D,MATCH(($I121/12),Constants!$A:$A,0)))),0),"")</f>
        <v/>
      </c>
      <c r="AT121" s="146" t="str">
        <f>IFERROR(_xlfn.IFNA(IF($BA121="No",0,IF(INDEX(Constants!E:E,MATCH(($I121/12),Constants!$A:$A,0))=0,0,INDEX(Constants!E:E,MATCH(($I121/12),Constants!$A:$A,0)))),0),"")</f>
        <v/>
      </c>
      <c r="AU121" s="146" t="str">
        <f>IFERROR(_xlfn.IFNA(IF($BA121="No",0,IF(INDEX(Constants!F:F,MATCH(($I121/12),Constants!$A:$A,0))=0,0,INDEX(Constants!F:F,MATCH(($I121/12),Constants!$A:$A,0)))),0),"")</f>
        <v/>
      </c>
      <c r="AV121" s="146" t="str">
        <f>IFERROR(_xlfn.IFNA(IF($BA121="No",0,IF(INDEX(Constants!G:G,MATCH(($I121/12),Constants!$A:$A,0))=0,0,INDEX(Constants!G:G,MATCH(($I121/12),Constants!$A:$A,0)))),0),"")</f>
        <v/>
      </c>
      <c r="AW121" s="146" t="str">
        <f>IFERROR(_xlfn.IFNA(IF($BA121="No",0,IF(INDEX(Constants!H:H,MATCH(($I121/12),Constants!$A:$A,0))=0,0,INDEX(Constants!H:H,MATCH(($I121/12),Constants!$A:$A,0)))),0),"")</f>
        <v/>
      </c>
      <c r="AX121" s="146" t="str">
        <f>IFERROR(_xlfn.IFNA(IF($BA121="No",0,IF(INDEX(Constants!I:I,MATCH(($I121/12),Constants!$A:$A,0))=0,0,INDEX(Constants!I:I,MATCH(($I121/12),Constants!$A:$A,0)))),0),"")</f>
        <v/>
      </c>
      <c r="AY121" s="146" t="str">
        <f>IFERROR(_xlfn.IFNA(IF($BA121="No",0,IF(INDEX(Constants!J:J,MATCH(($I121/12),Constants!$A:$A,0))=0,0,INDEX(Constants!J:J,MATCH(($I121/12),Constants!$A:$A,0)))),0),"")</f>
        <v/>
      </c>
      <c r="AZ121" s="146" t="str">
        <f>IFERROR(_xlfn.IFNA(IF($BA121="No",0,IF(INDEX(Constants!K:K,MATCH(($I121/12),Constants!$A:$A,0))=0,0,INDEX(Constants!K:K,MATCH(($I121/12),Constants!$A:$A,0)))),0),"")</f>
        <v/>
      </c>
      <c r="BA121" s="147" t="str">
        <f>_xlfn.IFNA(INDEX(Producer!$L:$L,MATCH($D121,Producer!$A:$A,0)),"")</f>
        <v/>
      </c>
      <c r="BB121" s="146" t="str">
        <f>IFERROR(IF(AQ121=0,"",IF(($I121/12)=15,_xlfn.CONCAT(Constants!$N$7,TEXT(DATE(YEAR(H121)-(($I121/12)-3),MONTH(H121),DAY(H121)),"dd/mm/yyyy"),", ",Constants!$P$7,TEXT(DATE(YEAR(H121)-(($I121/12)-8),MONTH(H121),DAY(H121)),"dd/mm/yyyy"),", ",Constants!$T$7,TEXT(DATE(YEAR(H121)-(($I121/12)-11),MONTH(H121),DAY(H121)),"dd/mm/yyyy"),", ",Constants!$V$7,TEXT(DATE(YEAR(H121)-(($I121/12)-13),MONTH(H121),DAY(H121)),"dd/mm/yyyy"),", ",Constants!$W$7,TEXT($H121,"dd/mm/yyyy")),IF(($I121/12)=10,_xlfn.CONCAT(Constants!$N$6,TEXT(DATE(YEAR(H121)-(($I121/12)-2),MONTH(H121),DAY(H121)),"dd/mm/yyyy"),", ",Constants!$P$6,TEXT(DATE(YEAR(H121)-(($I121/12)-6),MONTH(H121),DAY(H121)),"dd/mm/yyyy"),", ",Constants!$T$6,TEXT(DATE(YEAR(H121)-(($I121/12)-8),MONTH(H121),DAY(H121)),"dd/mm/yyyy"),", ",Constants!$V$6,TEXT(DATE(YEAR(H121)-(($I121/12)-9),MONTH(H121),DAY(H121)),"dd/mm/yyyy"),", ",Constants!$W$6,TEXT($H121,"dd/mm/yyyy")),IF(($I121/12)=5,_xlfn.CONCAT(Constants!$N$5,TEXT(DATE(YEAR(H121)-(($I121/12)-1),MONTH(H121),DAY(H121)),"dd/mm/yyyy"),", ",Constants!$O$5,TEXT(DATE(YEAR(H121)-(($I121/12)-2),MONTH(H121),DAY(H121)),"dd/mm/yyyy"),", ",Constants!$P$5,TEXT(DATE(YEAR(H121)-(($I121/12)-3),MONTH(H121),DAY(H121)),"dd/mm/yyyy"),", ",Constants!$Q$5,TEXT(DATE(YEAR(H121)-(($I121/12)-4),MONTH(H121),DAY(H121)),"dd/mm/yyyy"),", ",Constants!$R$5,TEXT($H121,"dd/mm/yyyy")),IF(($I121/12)=3,_xlfn.CONCAT(Constants!$N$4,TEXT(DATE(YEAR(H121)-(($I121/12)-1),MONTH(H121),DAY(H121)),"dd/mm/yyyy"),", ",Constants!$O$4,TEXT(DATE(YEAR(H121)-(($I121/12)-2),MONTH(H121),DAY(H121)),"dd/mm/yyyy"),", ",Constants!$P$4,TEXT($H121,"dd/mm/yyyy")),IF(($I121/12)=2,_xlfn.CONCAT(Constants!$N$3,TEXT(DATE(YEAR(H121)-(($I121/12)-1),MONTH(H121),DAY(H121)),"dd/mm/yyyy"),", ",Constants!$O$3,TEXT($H121,"dd/mm/yyyy")),IF(($I121/12)=1,_xlfn.CONCAT(Constants!$N$2,TEXT($H121,"dd/mm/yyyy")),"Update Constants"))))))),"")</f>
        <v/>
      </c>
      <c r="BC121" s="147" t="str">
        <f>_xlfn.IFNA(VALUE(INDEX(Producer!$K:$K,MATCH($D121,Producer!$A:$A,0))),"")</f>
        <v/>
      </c>
      <c r="BD121" s="147" t="str">
        <f>_xlfn.IFNA(INDEX(Producer!$I:$I,MATCH($D121,Producer!$A:$A,0)),"")</f>
        <v/>
      </c>
      <c r="BE121" s="147" t="str">
        <f t="shared" si="36"/>
        <v/>
      </c>
      <c r="BF121" s="147"/>
      <c r="BG121" s="147"/>
      <c r="BH121" s="151" t="str">
        <f>_xlfn.IFNA(INDEX(Constants!$B:$B,MATCH(BC121,Constants!A:A,0)),"")</f>
        <v/>
      </c>
      <c r="BI121" s="147" t="str">
        <f>IF(LEFT(B121,15)="Limited Company",Constants!$D$16,IFERROR(_xlfn.IFNA(IF(C121="Residential",IF(BK121&lt;75,INDEX(Constants!$B:$B,MATCH(VALUE(60)/100,Constants!$A:$A,0)),INDEX(Constants!$B:$B,MATCH(VALUE(BK121)/100,Constants!$A:$A,0))),IF(BK121&lt;60,INDEX(Constants!$C:$C,MATCH(VALUE(60)/100,Constants!$A:$A,0)),INDEX(Constants!$C:$C,MATCH(VALUE(BK121)/100,Constants!$A:$A,0)))),""),""))</f>
        <v/>
      </c>
      <c r="BJ121" s="147" t="str">
        <f t="shared" si="37"/>
        <v/>
      </c>
      <c r="BK121" s="147" t="str">
        <f>_xlfn.IFNA(VALUE(INDEX(Producer!$E:$E,MATCH($D121,Producer!$A:$A,0)))*100,"")</f>
        <v/>
      </c>
      <c r="BL121" s="146" t="str">
        <f>_xlfn.IFNA(IF(IFERROR(FIND("Part &amp; Part",B121),-10)&gt;0,"PP",IF(OR(LEFT(B121,25)="Residential Interest Only",INDEX(Producer!$P:$P,MATCH($D121,Producer!$A:$A,0))="IO",INDEX(Producer!$P:$P,MATCH($D121,Producer!$A:$A,0))="Retirement Interest Only"),"IO",IF($C121="BuyToLet","CI, IO","CI"))),"")</f>
        <v/>
      </c>
      <c r="BM121" s="152" t="str">
        <f>_xlfn.IFNA(IF(BL121="IO",100%,IF(AND(INDEX(Producer!$P:$P,MATCH($D121,Producer!$A:$A,0))="Residential Interest Only Part &amp; Part",BK121=75),80%,IF(C121="BuyToLet",100%,IF(BL121="Interest Only",100%,IF(AND(INDEX(Producer!$P:$P,MATCH($D121,Producer!$A:$A,0))="Residential Interest Only Part &amp; Part",BK121=60),100%,""))))),"")</f>
        <v/>
      </c>
      <c r="BN121" s="218" t="str">
        <f>_xlfn.IFNA(IF(VALUE(INDEX(Producer!$H:$H,MATCH($D121,Producer!$A:$A,0)))=0,"",VALUE(INDEX(Producer!$H:$H,MATCH($D121,Producer!$A:$A,0)))),"")</f>
        <v/>
      </c>
      <c r="BO121" s="153"/>
      <c r="BP121" s="153"/>
      <c r="BQ121" s="219" t="str">
        <f t="shared" si="38"/>
        <v/>
      </c>
      <c r="BR121" s="146"/>
      <c r="BS121" s="146"/>
      <c r="BT121" s="146"/>
      <c r="BU121" s="146"/>
      <c r="BV121" s="219" t="str">
        <f t="shared" si="39"/>
        <v/>
      </c>
      <c r="BW121" s="146"/>
      <c r="BX121" s="146"/>
      <c r="BY121" s="146" t="str">
        <f t="shared" si="40"/>
        <v/>
      </c>
      <c r="BZ121" s="146" t="str">
        <f t="shared" si="41"/>
        <v/>
      </c>
      <c r="CA121" s="146" t="str">
        <f t="shared" si="42"/>
        <v/>
      </c>
      <c r="CB121" s="146" t="str">
        <f t="shared" si="43"/>
        <v/>
      </c>
      <c r="CC121" s="146" t="str">
        <f>_xlfn.IFNA(IF(INDEX(Producer!$P:$P,MATCH($D121,Producer!$A:$A,0))="Help to Buy","Only available","No"),"")</f>
        <v/>
      </c>
      <c r="CD121" s="146" t="str">
        <f>_xlfn.IFNA(IF(INDEX(Producer!$P:$P,MATCH($D121,Producer!$A:$A,0))="Shared Ownership","Only available","No"),"")</f>
        <v/>
      </c>
      <c r="CE121" s="146" t="str">
        <f>_xlfn.IFNA(IF(INDEX(Producer!$P:$P,MATCH($D121,Producer!$A:$A,0))="Right to Buy","Only available","No"),"")</f>
        <v/>
      </c>
      <c r="CF121" s="146" t="str">
        <f t="shared" si="44"/>
        <v/>
      </c>
      <c r="CG121" s="146" t="str">
        <f>_xlfn.IFNA(IF(INDEX(Producer!$P:$P,MATCH($D121,Producer!$A:$A,0))="Retirement Interest Only","Only available","No"),"")</f>
        <v/>
      </c>
      <c r="CH121" s="146" t="str">
        <f t="shared" si="45"/>
        <v/>
      </c>
      <c r="CI121" s="146" t="str">
        <f>_xlfn.IFNA(IF(INDEX(Producer!$P:$P,MATCH($D121,Producer!$A:$A,0))="Intermediary Holiday Let","Only available","No"),"")</f>
        <v/>
      </c>
      <c r="CJ121" s="146" t="str">
        <f t="shared" si="46"/>
        <v/>
      </c>
      <c r="CK121" s="146" t="str">
        <f>_xlfn.IFNA(IF(OR(INDEX(Producer!$P:$P,MATCH($D121,Producer!$A:$A,0))="Intermediary Small HMO",INDEX(Producer!$P:$P,MATCH($D121,Producer!$A:$A,0))="Intermediary Large HMO"),"Only available","No"),"")</f>
        <v/>
      </c>
      <c r="CL121" s="146" t="str">
        <f t="shared" si="47"/>
        <v/>
      </c>
      <c r="CM121" s="146" t="str">
        <f t="shared" si="48"/>
        <v/>
      </c>
      <c r="CN121" s="146" t="str">
        <f t="shared" si="49"/>
        <v/>
      </c>
      <c r="CO121" s="146" t="str">
        <f t="shared" si="50"/>
        <v/>
      </c>
      <c r="CP121" s="146" t="str">
        <f t="shared" si="51"/>
        <v/>
      </c>
      <c r="CQ121" s="146" t="str">
        <f t="shared" si="52"/>
        <v/>
      </c>
      <c r="CR121" s="146" t="str">
        <f t="shared" si="53"/>
        <v/>
      </c>
      <c r="CS121" s="146" t="str">
        <f t="shared" si="54"/>
        <v/>
      </c>
      <c r="CT121" s="146" t="str">
        <f t="shared" si="55"/>
        <v/>
      </c>
      <c r="CU121" s="146"/>
    </row>
    <row r="122" spans="1:99" ht="16.399999999999999" customHeight="1" x14ac:dyDescent="0.35">
      <c r="A122" s="145" t="str">
        <f t="shared" si="28"/>
        <v/>
      </c>
      <c r="B122" s="145" t="str">
        <f>_xlfn.IFNA(_xlfn.CONCAT(INDEX(Producer!$P:$P,MATCH($D122,Producer!$A:$A,0))," ",IF(INDEX(Producer!$N:$N,MATCH($D122,Producer!$A:$A,0))="Yes","Green ",""),IF(AND(INDEX(Producer!$L:$L,MATCH($D122,Producer!$A:$A,0))="No",INDEX(Producer!$C:$C,MATCH($D122,Producer!$A:$A,0))="Fixed"),"Flexit ",""),INDEX(Producer!$B:$B,MATCH($D122,Producer!$A:$A,0))," Year ",INDEX(Producer!$C:$C,MATCH($D122,Producer!$A:$A,0))," ",VALUE(INDEX(Producer!$E:$E,MATCH($D122,Producer!$A:$A,0)))*100,"% LTV",IF(INDEX(Producer!$N:$N,MATCH($D122,Producer!$A:$A,0))="Yes"," (EPC A-C)","")," - ",IF(INDEX(Producer!$D:$D,MATCH($D122,Producer!$A:$A,0))="DLY","Daily","Annual")),"")</f>
        <v/>
      </c>
      <c r="C122" s="146" t="str">
        <f>_xlfn.IFNA(INDEX(Producer!$Q:$Q,MATCH($D122,Producer!$A:$A,0)),"")</f>
        <v/>
      </c>
      <c r="D122" s="146" t="str">
        <f>IFERROR(VALUE(MID(Producer!$R$2,IF($D121="",1/0,FIND(_xlfn.CONCAT($D120,$D121),Producer!$R$2)+10),5)),"")</f>
        <v/>
      </c>
      <c r="E122" s="146" t="str">
        <f t="shared" si="29"/>
        <v/>
      </c>
      <c r="F122" s="146"/>
      <c r="G122" s="147" t="str">
        <f>_xlfn.IFNA(VALUE(INDEX(Producer!$F:$F,MATCH($D122,Producer!$A:$A,0)))*100,"")</f>
        <v/>
      </c>
      <c r="H122" s="216" t="str">
        <f>_xlfn.IFNA(IFERROR(DATEVALUE(INDEX(Producer!$M:$M,MATCH($D122,Producer!$A:$A,0))),(INDEX(Producer!$M:$M,MATCH($D122,Producer!$A:$A,0)))),"")</f>
        <v/>
      </c>
      <c r="I122" s="217" t="str">
        <f>_xlfn.IFNA(VALUE(INDEX(Producer!$B:$B,MATCH($D122,Producer!$A:$A,0)))*12,"")</f>
        <v/>
      </c>
      <c r="J122" s="146" t="str">
        <f>_xlfn.IFNA(IF(C122="Residential",IF(VALUE(INDEX(Producer!$B:$B,MATCH($D122,Producer!$A:$A,0)))&lt;5,Constants!$C$10,""),IF(VALUE(INDEX(Producer!$B:$B,MATCH($D122,Producer!$A:$A,0)))&lt;5,Constants!$C$11,"")),"")</f>
        <v/>
      </c>
      <c r="K122" s="216" t="str">
        <f>_xlfn.IFNA(IF(($I122)&lt;60,DATE(YEAR(H122)+(5-VALUE(INDEX(Producer!$B:$B,MATCH($D122,Producer!$A:$A,0)))),MONTH(H122),DAY(H122)),""),"")</f>
        <v/>
      </c>
      <c r="L122" s="153" t="str">
        <f t="shared" si="30"/>
        <v/>
      </c>
      <c r="M122" s="146"/>
      <c r="N122" s="148"/>
      <c r="O122" s="148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 t="str">
        <f>IF(D122="","",IF(C122="Residential",Constants!$B$10,Constants!$B$11))</f>
        <v/>
      </c>
      <c r="AL122" s="146" t="str">
        <f t="shared" si="31"/>
        <v/>
      </c>
      <c r="AM122" s="206" t="str">
        <f t="shared" si="32"/>
        <v/>
      </c>
      <c r="AN122" s="146" t="str">
        <f t="shared" si="33"/>
        <v/>
      </c>
      <c r="AO122" s="149" t="str">
        <f t="shared" si="34"/>
        <v/>
      </c>
      <c r="AP122" s="150" t="str">
        <f t="shared" si="35"/>
        <v/>
      </c>
      <c r="AQ122" s="146" t="str">
        <f>IFERROR(_xlfn.IFNA(IF($BA122="No",0,IF(INDEX(Constants!B:B,MATCH(($I122/12),Constants!$A:$A,0))=0,0,INDEX(Constants!B:B,MATCH(($I122/12),Constants!$A:$A,0)))),0),"")</f>
        <v/>
      </c>
      <c r="AR122" s="146" t="str">
        <f>IFERROR(_xlfn.IFNA(IF($BA122="No",0,IF(INDEX(Constants!C:C,MATCH(($I122/12),Constants!$A:$A,0))=0,0,INDEX(Constants!C:C,MATCH(($I122/12),Constants!$A:$A,0)))),0),"")</f>
        <v/>
      </c>
      <c r="AS122" s="146" t="str">
        <f>IFERROR(_xlfn.IFNA(IF($BA122="No",0,IF(INDEX(Constants!D:D,MATCH(($I122/12),Constants!$A:$A,0))=0,0,INDEX(Constants!D:D,MATCH(($I122/12),Constants!$A:$A,0)))),0),"")</f>
        <v/>
      </c>
      <c r="AT122" s="146" t="str">
        <f>IFERROR(_xlfn.IFNA(IF($BA122="No",0,IF(INDEX(Constants!E:E,MATCH(($I122/12),Constants!$A:$A,0))=0,0,INDEX(Constants!E:E,MATCH(($I122/12),Constants!$A:$A,0)))),0),"")</f>
        <v/>
      </c>
      <c r="AU122" s="146" t="str">
        <f>IFERROR(_xlfn.IFNA(IF($BA122="No",0,IF(INDEX(Constants!F:F,MATCH(($I122/12),Constants!$A:$A,0))=0,0,INDEX(Constants!F:F,MATCH(($I122/12),Constants!$A:$A,0)))),0),"")</f>
        <v/>
      </c>
      <c r="AV122" s="146" t="str">
        <f>IFERROR(_xlfn.IFNA(IF($BA122="No",0,IF(INDEX(Constants!G:G,MATCH(($I122/12),Constants!$A:$A,0))=0,0,INDEX(Constants!G:G,MATCH(($I122/12),Constants!$A:$A,0)))),0),"")</f>
        <v/>
      </c>
      <c r="AW122" s="146" t="str">
        <f>IFERROR(_xlfn.IFNA(IF($BA122="No",0,IF(INDEX(Constants!H:H,MATCH(($I122/12),Constants!$A:$A,0))=0,0,INDEX(Constants!H:H,MATCH(($I122/12),Constants!$A:$A,0)))),0),"")</f>
        <v/>
      </c>
      <c r="AX122" s="146" t="str">
        <f>IFERROR(_xlfn.IFNA(IF($BA122="No",0,IF(INDEX(Constants!I:I,MATCH(($I122/12),Constants!$A:$A,0))=0,0,INDEX(Constants!I:I,MATCH(($I122/12),Constants!$A:$A,0)))),0),"")</f>
        <v/>
      </c>
      <c r="AY122" s="146" t="str">
        <f>IFERROR(_xlfn.IFNA(IF($BA122="No",0,IF(INDEX(Constants!J:J,MATCH(($I122/12),Constants!$A:$A,0))=0,0,INDEX(Constants!J:J,MATCH(($I122/12),Constants!$A:$A,0)))),0),"")</f>
        <v/>
      </c>
      <c r="AZ122" s="146" t="str">
        <f>IFERROR(_xlfn.IFNA(IF($BA122="No",0,IF(INDEX(Constants!K:K,MATCH(($I122/12),Constants!$A:$A,0))=0,0,INDEX(Constants!K:K,MATCH(($I122/12),Constants!$A:$A,0)))),0),"")</f>
        <v/>
      </c>
      <c r="BA122" s="147" t="str">
        <f>_xlfn.IFNA(INDEX(Producer!$L:$L,MATCH($D122,Producer!$A:$A,0)),"")</f>
        <v/>
      </c>
      <c r="BB122" s="146" t="str">
        <f>IFERROR(IF(AQ122=0,"",IF(($I122/12)=15,_xlfn.CONCAT(Constants!$N$7,TEXT(DATE(YEAR(H122)-(($I122/12)-3),MONTH(H122),DAY(H122)),"dd/mm/yyyy"),", ",Constants!$P$7,TEXT(DATE(YEAR(H122)-(($I122/12)-8),MONTH(H122),DAY(H122)),"dd/mm/yyyy"),", ",Constants!$T$7,TEXT(DATE(YEAR(H122)-(($I122/12)-11),MONTH(H122),DAY(H122)),"dd/mm/yyyy"),", ",Constants!$V$7,TEXT(DATE(YEAR(H122)-(($I122/12)-13),MONTH(H122),DAY(H122)),"dd/mm/yyyy"),", ",Constants!$W$7,TEXT($H122,"dd/mm/yyyy")),IF(($I122/12)=10,_xlfn.CONCAT(Constants!$N$6,TEXT(DATE(YEAR(H122)-(($I122/12)-2),MONTH(H122),DAY(H122)),"dd/mm/yyyy"),", ",Constants!$P$6,TEXT(DATE(YEAR(H122)-(($I122/12)-6),MONTH(H122),DAY(H122)),"dd/mm/yyyy"),", ",Constants!$T$6,TEXT(DATE(YEAR(H122)-(($I122/12)-8),MONTH(H122),DAY(H122)),"dd/mm/yyyy"),", ",Constants!$V$6,TEXT(DATE(YEAR(H122)-(($I122/12)-9),MONTH(H122),DAY(H122)),"dd/mm/yyyy"),", ",Constants!$W$6,TEXT($H122,"dd/mm/yyyy")),IF(($I122/12)=5,_xlfn.CONCAT(Constants!$N$5,TEXT(DATE(YEAR(H122)-(($I122/12)-1),MONTH(H122),DAY(H122)),"dd/mm/yyyy"),", ",Constants!$O$5,TEXT(DATE(YEAR(H122)-(($I122/12)-2),MONTH(H122),DAY(H122)),"dd/mm/yyyy"),", ",Constants!$P$5,TEXT(DATE(YEAR(H122)-(($I122/12)-3),MONTH(H122),DAY(H122)),"dd/mm/yyyy"),", ",Constants!$Q$5,TEXT(DATE(YEAR(H122)-(($I122/12)-4),MONTH(H122),DAY(H122)),"dd/mm/yyyy"),", ",Constants!$R$5,TEXT($H122,"dd/mm/yyyy")),IF(($I122/12)=3,_xlfn.CONCAT(Constants!$N$4,TEXT(DATE(YEAR(H122)-(($I122/12)-1),MONTH(H122),DAY(H122)),"dd/mm/yyyy"),", ",Constants!$O$4,TEXT(DATE(YEAR(H122)-(($I122/12)-2),MONTH(H122),DAY(H122)),"dd/mm/yyyy"),", ",Constants!$P$4,TEXT($H122,"dd/mm/yyyy")),IF(($I122/12)=2,_xlfn.CONCAT(Constants!$N$3,TEXT(DATE(YEAR(H122)-(($I122/12)-1),MONTH(H122),DAY(H122)),"dd/mm/yyyy"),", ",Constants!$O$3,TEXT($H122,"dd/mm/yyyy")),IF(($I122/12)=1,_xlfn.CONCAT(Constants!$N$2,TEXT($H122,"dd/mm/yyyy")),"Update Constants"))))))),"")</f>
        <v/>
      </c>
      <c r="BC122" s="147" t="str">
        <f>_xlfn.IFNA(VALUE(INDEX(Producer!$K:$K,MATCH($D122,Producer!$A:$A,0))),"")</f>
        <v/>
      </c>
      <c r="BD122" s="147" t="str">
        <f>_xlfn.IFNA(INDEX(Producer!$I:$I,MATCH($D122,Producer!$A:$A,0)),"")</f>
        <v/>
      </c>
      <c r="BE122" s="147" t="str">
        <f t="shared" si="36"/>
        <v/>
      </c>
      <c r="BF122" s="147"/>
      <c r="BG122" s="147"/>
      <c r="BH122" s="151" t="str">
        <f>_xlfn.IFNA(INDEX(Constants!$B:$B,MATCH(BC122,Constants!A:A,0)),"")</f>
        <v/>
      </c>
      <c r="BI122" s="147" t="str">
        <f>IF(LEFT(B122,15)="Limited Company",Constants!$D$16,IFERROR(_xlfn.IFNA(IF(C122="Residential",IF(BK122&lt;75,INDEX(Constants!$B:$B,MATCH(VALUE(60)/100,Constants!$A:$A,0)),INDEX(Constants!$B:$B,MATCH(VALUE(BK122)/100,Constants!$A:$A,0))),IF(BK122&lt;60,INDEX(Constants!$C:$C,MATCH(VALUE(60)/100,Constants!$A:$A,0)),INDEX(Constants!$C:$C,MATCH(VALUE(BK122)/100,Constants!$A:$A,0)))),""),""))</f>
        <v/>
      </c>
      <c r="BJ122" s="147" t="str">
        <f t="shared" si="37"/>
        <v/>
      </c>
      <c r="BK122" s="147" t="str">
        <f>_xlfn.IFNA(VALUE(INDEX(Producer!$E:$E,MATCH($D122,Producer!$A:$A,0)))*100,"")</f>
        <v/>
      </c>
      <c r="BL122" s="146" t="str">
        <f>_xlfn.IFNA(IF(IFERROR(FIND("Part &amp; Part",B122),-10)&gt;0,"PP",IF(OR(LEFT(B122,25)="Residential Interest Only",INDEX(Producer!$P:$P,MATCH($D122,Producer!$A:$A,0))="IO",INDEX(Producer!$P:$P,MATCH($D122,Producer!$A:$A,0))="Retirement Interest Only"),"IO",IF($C122="BuyToLet","CI, IO","CI"))),"")</f>
        <v/>
      </c>
      <c r="BM122" s="152" t="str">
        <f>_xlfn.IFNA(IF(BL122="IO",100%,IF(AND(INDEX(Producer!$P:$P,MATCH($D122,Producer!$A:$A,0))="Residential Interest Only Part &amp; Part",BK122=75),80%,IF(C122="BuyToLet",100%,IF(BL122="Interest Only",100%,IF(AND(INDEX(Producer!$P:$P,MATCH($D122,Producer!$A:$A,0))="Residential Interest Only Part &amp; Part",BK122=60),100%,""))))),"")</f>
        <v/>
      </c>
      <c r="BN122" s="218" t="str">
        <f>_xlfn.IFNA(IF(VALUE(INDEX(Producer!$H:$H,MATCH($D122,Producer!$A:$A,0)))=0,"",VALUE(INDEX(Producer!$H:$H,MATCH($D122,Producer!$A:$A,0)))),"")</f>
        <v/>
      </c>
      <c r="BO122" s="153"/>
      <c r="BP122" s="153"/>
      <c r="BQ122" s="219" t="str">
        <f t="shared" si="38"/>
        <v/>
      </c>
      <c r="BR122" s="146"/>
      <c r="BS122" s="146"/>
      <c r="BT122" s="146"/>
      <c r="BU122" s="146"/>
      <c r="BV122" s="219" t="str">
        <f t="shared" si="39"/>
        <v/>
      </c>
      <c r="BW122" s="146"/>
      <c r="BX122" s="146"/>
      <c r="BY122" s="146" t="str">
        <f t="shared" si="40"/>
        <v/>
      </c>
      <c r="BZ122" s="146" t="str">
        <f t="shared" si="41"/>
        <v/>
      </c>
      <c r="CA122" s="146" t="str">
        <f t="shared" si="42"/>
        <v/>
      </c>
      <c r="CB122" s="146" t="str">
        <f t="shared" si="43"/>
        <v/>
      </c>
      <c r="CC122" s="146" t="str">
        <f>_xlfn.IFNA(IF(INDEX(Producer!$P:$P,MATCH($D122,Producer!$A:$A,0))="Help to Buy","Only available","No"),"")</f>
        <v/>
      </c>
      <c r="CD122" s="146" t="str">
        <f>_xlfn.IFNA(IF(INDEX(Producer!$P:$P,MATCH($D122,Producer!$A:$A,0))="Shared Ownership","Only available","No"),"")</f>
        <v/>
      </c>
      <c r="CE122" s="146" t="str">
        <f>_xlfn.IFNA(IF(INDEX(Producer!$P:$P,MATCH($D122,Producer!$A:$A,0))="Right to Buy","Only available","No"),"")</f>
        <v/>
      </c>
      <c r="CF122" s="146" t="str">
        <f t="shared" si="44"/>
        <v/>
      </c>
      <c r="CG122" s="146" t="str">
        <f>_xlfn.IFNA(IF(INDEX(Producer!$P:$P,MATCH($D122,Producer!$A:$A,0))="Retirement Interest Only","Only available","No"),"")</f>
        <v/>
      </c>
      <c r="CH122" s="146" t="str">
        <f t="shared" si="45"/>
        <v/>
      </c>
      <c r="CI122" s="146" t="str">
        <f>_xlfn.IFNA(IF(INDEX(Producer!$P:$P,MATCH($D122,Producer!$A:$A,0))="Intermediary Holiday Let","Only available","No"),"")</f>
        <v/>
      </c>
      <c r="CJ122" s="146" t="str">
        <f t="shared" si="46"/>
        <v/>
      </c>
      <c r="CK122" s="146" t="str">
        <f>_xlfn.IFNA(IF(OR(INDEX(Producer!$P:$P,MATCH($D122,Producer!$A:$A,0))="Intermediary Small HMO",INDEX(Producer!$P:$P,MATCH($D122,Producer!$A:$A,0))="Intermediary Large HMO"),"Only available","No"),"")</f>
        <v/>
      </c>
      <c r="CL122" s="146" t="str">
        <f t="shared" si="47"/>
        <v/>
      </c>
      <c r="CM122" s="146" t="str">
        <f t="shared" si="48"/>
        <v/>
      </c>
      <c r="CN122" s="146" t="str">
        <f t="shared" si="49"/>
        <v/>
      </c>
      <c r="CO122" s="146" t="str">
        <f t="shared" si="50"/>
        <v/>
      </c>
      <c r="CP122" s="146" t="str">
        <f t="shared" si="51"/>
        <v/>
      </c>
      <c r="CQ122" s="146" t="str">
        <f t="shared" si="52"/>
        <v/>
      </c>
      <c r="CR122" s="146" t="str">
        <f t="shared" si="53"/>
        <v/>
      </c>
      <c r="CS122" s="146" t="str">
        <f t="shared" si="54"/>
        <v/>
      </c>
      <c r="CT122" s="146" t="str">
        <f t="shared" si="55"/>
        <v/>
      </c>
      <c r="CU122" s="146"/>
    </row>
    <row r="123" spans="1:99" ht="16.399999999999999" customHeight="1" x14ac:dyDescent="0.35">
      <c r="A123" s="145" t="str">
        <f t="shared" si="28"/>
        <v/>
      </c>
      <c r="B123" s="145" t="str">
        <f>_xlfn.IFNA(_xlfn.CONCAT(INDEX(Producer!$P:$P,MATCH($D123,Producer!$A:$A,0))," ",IF(INDEX(Producer!$N:$N,MATCH($D123,Producer!$A:$A,0))="Yes","Green ",""),IF(AND(INDEX(Producer!$L:$L,MATCH($D123,Producer!$A:$A,0))="No",INDEX(Producer!$C:$C,MATCH($D123,Producer!$A:$A,0))="Fixed"),"Flexit ",""),INDEX(Producer!$B:$B,MATCH($D123,Producer!$A:$A,0))," Year ",INDEX(Producer!$C:$C,MATCH($D123,Producer!$A:$A,0))," ",VALUE(INDEX(Producer!$E:$E,MATCH($D123,Producer!$A:$A,0)))*100,"% LTV",IF(INDEX(Producer!$N:$N,MATCH($D123,Producer!$A:$A,0))="Yes"," (EPC A-C)","")," - ",IF(INDEX(Producer!$D:$D,MATCH($D123,Producer!$A:$A,0))="DLY","Daily","Annual")),"")</f>
        <v/>
      </c>
      <c r="C123" s="146" t="str">
        <f>_xlfn.IFNA(INDEX(Producer!$Q:$Q,MATCH($D123,Producer!$A:$A,0)),"")</f>
        <v/>
      </c>
      <c r="D123" s="146" t="str">
        <f>IFERROR(VALUE(MID(Producer!$R$2,IF($D122="",1/0,FIND(_xlfn.CONCAT($D121,$D122),Producer!$R$2)+10),5)),"")</f>
        <v/>
      </c>
      <c r="E123" s="146" t="str">
        <f t="shared" si="29"/>
        <v/>
      </c>
      <c r="F123" s="146"/>
      <c r="G123" s="147" t="str">
        <f>_xlfn.IFNA(VALUE(INDEX(Producer!$F:$F,MATCH($D123,Producer!$A:$A,0)))*100,"")</f>
        <v/>
      </c>
      <c r="H123" s="216" t="str">
        <f>_xlfn.IFNA(IFERROR(DATEVALUE(INDEX(Producer!$M:$M,MATCH($D123,Producer!$A:$A,0))),(INDEX(Producer!$M:$M,MATCH($D123,Producer!$A:$A,0)))),"")</f>
        <v/>
      </c>
      <c r="I123" s="217" t="str">
        <f>_xlfn.IFNA(VALUE(INDEX(Producer!$B:$B,MATCH($D123,Producer!$A:$A,0)))*12,"")</f>
        <v/>
      </c>
      <c r="J123" s="146" t="str">
        <f>_xlfn.IFNA(IF(C123="Residential",IF(VALUE(INDEX(Producer!$B:$B,MATCH($D123,Producer!$A:$A,0)))&lt;5,Constants!$C$10,""),IF(VALUE(INDEX(Producer!$B:$B,MATCH($D123,Producer!$A:$A,0)))&lt;5,Constants!$C$11,"")),"")</f>
        <v/>
      </c>
      <c r="K123" s="216" t="str">
        <f>_xlfn.IFNA(IF(($I123)&lt;60,DATE(YEAR(H123)+(5-VALUE(INDEX(Producer!$B:$B,MATCH($D123,Producer!$A:$A,0)))),MONTH(H123),DAY(H123)),""),"")</f>
        <v/>
      </c>
      <c r="L123" s="153" t="str">
        <f t="shared" si="30"/>
        <v/>
      </c>
      <c r="M123" s="146"/>
      <c r="N123" s="148"/>
      <c r="O123" s="148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 t="str">
        <f>IF(D123="","",IF(C123="Residential",Constants!$B$10,Constants!$B$11))</f>
        <v/>
      </c>
      <c r="AL123" s="146" t="str">
        <f t="shared" si="31"/>
        <v/>
      </c>
      <c r="AM123" s="206" t="str">
        <f t="shared" si="32"/>
        <v/>
      </c>
      <c r="AN123" s="146" t="str">
        <f t="shared" si="33"/>
        <v/>
      </c>
      <c r="AO123" s="149" t="str">
        <f t="shared" si="34"/>
        <v/>
      </c>
      <c r="AP123" s="150" t="str">
        <f t="shared" si="35"/>
        <v/>
      </c>
      <c r="AQ123" s="146" t="str">
        <f>IFERROR(_xlfn.IFNA(IF($BA123="No",0,IF(INDEX(Constants!B:B,MATCH(($I123/12),Constants!$A:$A,0))=0,0,INDEX(Constants!B:B,MATCH(($I123/12),Constants!$A:$A,0)))),0),"")</f>
        <v/>
      </c>
      <c r="AR123" s="146" t="str">
        <f>IFERROR(_xlfn.IFNA(IF($BA123="No",0,IF(INDEX(Constants!C:C,MATCH(($I123/12),Constants!$A:$A,0))=0,0,INDEX(Constants!C:C,MATCH(($I123/12),Constants!$A:$A,0)))),0),"")</f>
        <v/>
      </c>
      <c r="AS123" s="146" t="str">
        <f>IFERROR(_xlfn.IFNA(IF($BA123="No",0,IF(INDEX(Constants!D:D,MATCH(($I123/12),Constants!$A:$A,0))=0,0,INDEX(Constants!D:D,MATCH(($I123/12),Constants!$A:$A,0)))),0),"")</f>
        <v/>
      </c>
      <c r="AT123" s="146" t="str">
        <f>IFERROR(_xlfn.IFNA(IF($BA123="No",0,IF(INDEX(Constants!E:E,MATCH(($I123/12),Constants!$A:$A,0))=0,0,INDEX(Constants!E:E,MATCH(($I123/12),Constants!$A:$A,0)))),0),"")</f>
        <v/>
      </c>
      <c r="AU123" s="146" t="str">
        <f>IFERROR(_xlfn.IFNA(IF($BA123="No",0,IF(INDEX(Constants!F:F,MATCH(($I123/12),Constants!$A:$A,0))=0,0,INDEX(Constants!F:F,MATCH(($I123/12),Constants!$A:$A,0)))),0),"")</f>
        <v/>
      </c>
      <c r="AV123" s="146" t="str">
        <f>IFERROR(_xlfn.IFNA(IF($BA123="No",0,IF(INDEX(Constants!G:G,MATCH(($I123/12),Constants!$A:$A,0))=0,0,INDEX(Constants!G:G,MATCH(($I123/12),Constants!$A:$A,0)))),0),"")</f>
        <v/>
      </c>
      <c r="AW123" s="146" t="str">
        <f>IFERROR(_xlfn.IFNA(IF($BA123="No",0,IF(INDEX(Constants!H:H,MATCH(($I123/12),Constants!$A:$A,0))=0,0,INDEX(Constants!H:H,MATCH(($I123/12),Constants!$A:$A,0)))),0),"")</f>
        <v/>
      </c>
      <c r="AX123" s="146" t="str">
        <f>IFERROR(_xlfn.IFNA(IF($BA123="No",0,IF(INDEX(Constants!I:I,MATCH(($I123/12),Constants!$A:$A,0))=0,0,INDEX(Constants!I:I,MATCH(($I123/12),Constants!$A:$A,0)))),0),"")</f>
        <v/>
      </c>
      <c r="AY123" s="146" t="str">
        <f>IFERROR(_xlfn.IFNA(IF($BA123="No",0,IF(INDEX(Constants!J:J,MATCH(($I123/12),Constants!$A:$A,0))=0,0,INDEX(Constants!J:J,MATCH(($I123/12),Constants!$A:$A,0)))),0),"")</f>
        <v/>
      </c>
      <c r="AZ123" s="146" t="str">
        <f>IFERROR(_xlfn.IFNA(IF($BA123="No",0,IF(INDEX(Constants!K:K,MATCH(($I123/12),Constants!$A:$A,0))=0,0,INDEX(Constants!K:K,MATCH(($I123/12),Constants!$A:$A,0)))),0),"")</f>
        <v/>
      </c>
      <c r="BA123" s="147" t="str">
        <f>_xlfn.IFNA(INDEX(Producer!$L:$L,MATCH($D123,Producer!$A:$A,0)),"")</f>
        <v/>
      </c>
      <c r="BB123" s="146" t="str">
        <f>IFERROR(IF(AQ123=0,"",IF(($I123/12)=15,_xlfn.CONCAT(Constants!$N$7,TEXT(DATE(YEAR(H123)-(($I123/12)-3),MONTH(H123),DAY(H123)),"dd/mm/yyyy"),", ",Constants!$P$7,TEXT(DATE(YEAR(H123)-(($I123/12)-8),MONTH(H123),DAY(H123)),"dd/mm/yyyy"),", ",Constants!$T$7,TEXT(DATE(YEAR(H123)-(($I123/12)-11),MONTH(H123),DAY(H123)),"dd/mm/yyyy"),", ",Constants!$V$7,TEXT(DATE(YEAR(H123)-(($I123/12)-13),MONTH(H123),DAY(H123)),"dd/mm/yyyy"),", ",Constants!$W$7,TEXT($H123,"dd/mm/yyyy")),IF(($I123/12)=10,_xlfn.CONCAT(Constants!$N$6,TEXT(DATE(YEAR(H123)-(($I123/12)-2),MONTH(H123),DAY(H123)),"dd/mm/yyyy"),", ",Constants!$P$6,TEXT(DATE(YEAR(H123)-(($I123/12)-6),MONTH(H123),DAY(H123)),"dd/mm/yyyy"),", ",Constants!$T$6,TEXT(DATE(YEAR(H123)-(($I123/12)-8),MONTH(H123),DAY(H123)),"dd/mm/yyyy"),", ",Constants!$V$6,TEXT(DATE(YEAR(H123)-(($I123/12)-9),MONTH(H123),DAY(H123)),"dd/mm/yyyy"),", ",Constants!$W$6,TEXT($H123,"dd/mm/yyyy")),IF(($I123/12)=5,_xlfn.CONCAT(Constants!$N$5,TEXT(DATE(YEAR(H123)-(($I123/12)-1),MONTH(H123),DAY(H123)),"dd/mm/yyyy"),", ",Constants!$O$5,TEXT(DATE(YEAR(H123)-(($I123/12)-2),MONTH(H123),DAY(H123)),"dd/mm/yyyy"),", ",Constants!$P$5,TEXT(DATE(YEAR(H123)-(($I123/12)-3),MONTH(H123),DAY(H123)),"dd/mm/yyyy"),", ",Constants!$Q$5,TEXT(DATE(YEAR(H123)-(($I123/12)-4),MONTH(H123),DAY(H123)),"dd/mm/yyyy"),", ",Constants!$R$5,TEXT($H123,"dd/mm/yyyy")),IF(($I123/12)=3,_xlfn.CONCAT(Constants!$N$4,TEXT(DATE(YEAR(H123)-(($I123/12)-1),MONTH(H123),DAY(H123)),"dd/mm/yyyy"),", ",Constants!$O$4,TEXT(DATE(YEAR(H123)-(($I123/12)-2),MONTH(H123),DAY(H123)),"dd/mm/yyyy"),", ",Constants!$P$4,TEXT($H123,"dd/mm/yyyy")),IF(($I123/12)=2,_xlfn.CONCAT(Constants!$N$3,TEXT(DATE(YEAR(H123)-(($I123/12)-1),MONTH(H123),DAY(H123)),"dd/mm/yyyy"),", ",Constants!$O$3,TEXT($H123,"dd/mm/yyyy")),IF(($I123/12)=1,_xlfn.CONCAT(Constants!$N$2,TEXT($H123,"dd/mm/yyyy")),"Update Constants"))))))),"")</f>
        <v/>
      </c>
      <c r="BC123" s="147" t="str">
        <f>_xlfn.IFNA(VALUE(INDEX(Producer!$K:$K,MATCH($D123,Producer!$A:$A,0))),"")</f>
        <v/>
      </c>
      <c r="BD123" s="147" t="str">
        <f>_xlfn.IFNA(INDEX(Producer!$I:$I,MATCH($D123,Producer!$A:$A,0)),"")</f>
        <v/>
      </c>
      <c r="BE123" s="147" t="str">
        <f t="shared" si="36"/>
        <v/>
      </c>
      <c r="BF123" s="147"/>
      <c r="BG123" s="147"/>
      <c r="BH123" s="151" t="str">
        <f>_xlfn.IFNA(INDEX(Constants!$B:$B,MATCH(BC123,Constants!A:A,0)),"")</f>
        <v/>
      </c>
      <c r="BI123" s="147" t="str">
        <f>IF(LEFT(B123,15)="Limited Company",Constants!$D$16,IFERROR(_xlfn.IFNA(IF(C123="Residential",IF(BK123&lt;75,INDEX(Constants!$B:$B,MATCH(VALUE(60)/100,Constants!$A:$A,0)),INDEX(Constants!$B:$B,MATCH(VALUE(BK123)/100,Constants!$A:$A,0))),IF(BK123&lt;60,INDEX(Constants!$C:$C,MATCH(VALUE(60)/100,Constants!$A:$A,0)),INDEX(Constants!$C:$C,MATCH(VALUE(BK123)/100,Constants!$A:$A,0)))),""),""))</f>
        <v/>
      </c>
      <c r="BJ123" s="147" t="str">
        <f t="shared" si="37"/>
        <v/>
      </c>
      <c r="BK123" s="147" t="str">
        <f>_xlfn.IFNA(VALUE(INDEX(Producer!$E:$E,MATCH($D123,Producer!$A:$A,0)))*100,"")</f>
        <v/>
      </c>
      <c r="BL123" s="146" t="str">
        <f>_xlfn.IFNA(IF(IFERROR(FIND("Part &amp; Part",B123),-10)&gt;0,"PP",IF(OR(LEFT(B123,25)="Residential Interest Only",INDEX(Producer!$P:$P,MATCH($D123,Producer!$A:$A,0))="IO",INDEX(Producer!$P:$P,MATCH($D123,Producer!$A:$A,0))="Retirement Interest Only"),"IO",IF($C123="BuyToLet","CI, IO","CI"))),"")</f>
        <v/>
      </c>
      <c r="BM123" s="152" t="str">
        <f>_xlfn.IFNA(IF(BL123="IO",100%,IF(AND(INDEX(Producer!$P:$P,MATCH($D123,Producer!$A:$A,0))="Residential Interest Only Part &amp; Part",BK123=75),80%,IF(C123="BuyToLet",100%,IF(BL123="Interest Only",100%,IF(AND(INDEX(Producer!$P:$P,MATCH($D123,Producer!$A:$A,0))="Residential Interest Only Part &amp; Part",BK123=60),100%,""))))),"")</f>
        <v/>
      </c>
      <c r="BN123" s="218" t="str">
        <f>_xlfn.IFNA(IF(VALUE(INDEX(Producer!$H:$H,MATCH($D123,Producer!$A:$A,0)))=0,"",VALUE(INDEX(Producer!$H:$H,MATCH($D123,Producer!$A:$A,0)))),"")</f>
        <v/>
      </c>
      <c r="BO123" s="153"/>
      <c r="BP123" s="153"/>
      <c r="BQ123" s="219" t="str">
        <f t="shared" si="38"/>
        <v/>
      </c>
      <c r="BR123" s="146"/>
      <c r="BS123" s="146"/>
      <c r="BT123" s="146"/>
      <c r="BU123" s="146"/>
      <c r="BV123" s="219" t="str">
        <f t="shared" si="39"/>
        <v/>
      </c>
      <c r="BW123" s="146"/>
      <c r="BX123" s="146"/>
      <c r="BY123" s="146" t="str">
        <f t="shared" si="40"/>
        <v/>
      </c>
      <c r="BZ123" s="146" t="str">
        <f t="shared" si="41"/>
        <v/>
      </c>
      <c r="CA123" s="146" t="str">
        <f t="shared" si="42"/>
        <v/>
      </c>
      <c r="CB123" s="146" t="str">
        <f t="shared" si="43"/>
        <v/>
      </c>
      <c r="CC123" s="146" t="str">
        <f>_xlfn.IFNA(IF(INDEX(Producer!$P:$P,MATCH($D123,Producer!$A:$A,0))="Help to Buy","Only available","No"),"")</f>
        <v/>
      </c>
      <c r="CD123" s="146" t="str">
        <f>_xlfn.IFNA(IF(INDEX(Producer!$P:$P,MATCH($D123,Producer!$A:$A,0))="Shared Ownership","Only available","No"),"")</f>
        <v/>
      </c>
      <c r="CE123" s="146" t="str">
        <f>_xlfn.IFNA(IF(INDEX(Producer!$P:$P,MATCH($D123,Producer!$A:$A,0))="Right to Buy","Only available","No"),"")</f>
        <v/>
      </c>
      <c r="CF123" s="146" t="str">
        <f t="shared" si="44"/>
        <v/>
      </c>
      <c r="CG123" s="146" t="str">
        <f>_xlfn.IFNA(IF(INDEX(Producer!$P:$P,MATCH($D123,Producer!$A:$A,0))="Retirement Interest Only","Only available","No"),"")</f>
        <v/>
      </c>
      <c r="CH123" s="146" t="str">
        <f t="shared" si="45"/>
        <v/>
      </c>
      <c r="CI123" s="146" t="str">
        <f>_xlfn.IFNA(IF(INDEX(Producer!$P:$P,MATCH($D123,Producer!$A:$A,0))="Intermediary Holiday Let","Only available","No"),"")</f>
        <v/>
      </c>
      <c r="CJ123" s="146" t="str">
        <f t="shared" si="46"/>
        <v/>
      </c>
      <c r="CK123" s="146" t="str">
        <f>_xlfn.IFNA(IF(OR(INDEX(Producer!$P:$P,MATCH($D123,Producer!$A:$A,0))="Intermediary Small HMO",INDEX(Producer!$P:$P,MATCH($D123,Producer!$A:$A,0))="Intermediary Large HMO"),"Only available","No"),"")</f>
        <v/>
      </c>
      <c r="CL123" s="146" t="str">
        <f t="shared" si="47"/>
        <v/>
      </c>
      <c r="CM123" s="146" t="str">
        <f t="shared" si="48"/>
        <v/>
      </c>
      <c r="CN123" s="146" t="str">
        <f t="shared" si="49"/>
        <v/>
      </c>
      <c r="CO123" s="146" t="str">
        <f t="shared" si="50"/>
        <v/>
      </c>
      <c r="CP123" s="146" t="str">
        <f t="shared" si="51"/>
        <v/>
      </c>
      <c r="CQ123" s="146" t="str">
        <f t="shared" si="52"/>
        <v/>
      </c>
      <c r="CR123" s="146" t="str">
        <f t="shared" si="53"/>
        <v/>
      </c>
      <c r="CS123" s="146" t="str">
        <f t="shared" si="54"/>
        <v/>
      </c>
      <c r="CT123" s="146" t="str">
        <f t="shared" si="55"/>
        <v/>
      </c>
      <c r="CU123" s="146"/>
    </row>
    <row r="124" spans="1:99" ht="16.399999999999999" customHeight="1" x14ac:dyDescent="0.35">
      <c r="A124" s="145" t="str">
        <f t="shared" si="28"/>
        <v/>
      </c>
      <c r="B124" s="145" t="str">
        <f>_xlfn.IFNA(_xlfn.CONCAT(INDEX(Producer!$P:$P,MATCH($D124,Producer!$A:$A,0))," ",IF(INDEX(Producer!$N:$N,MATCH($D124,Producer!$A:$A,0))="Yes","Green ",""),IF(AND(INDEX(Producer!$L:$L,MATCH($D124,Producer!$A:$A,0))="No",INDEX(Producer!$C:$C,MATCH($D124,Producer!$A:$A,0))="Fixed"),"Flexit ",""),INDEX(Producer!$B:$B,MATCH($D124,Producer!$A:$A,0))," Year ",INDEX(Producer!$C:$C,MATCH($D124,Producer!$A:$A,0))," ",VALUE(INDEX(Producer!$E:$E,MATCH($D124,Producer!$A:$A,0)))*100,"% LTV",IF(INDEX(Producer!$N:$N,MATCH($D124,Producer!$A:$A,0))="Yes"," (EPC A-C)","")," - ",IF(INDEX(Producer!$D:$D,MATCH($D124,Producer!$A:$A,0))="DLY","Daily","Annual")),"")</f>
        <v/>
      </c>
      <c r="C124" s="146" t="str">
        <f>_xlfn.IFNA(INDEX(Producer!$Q:$Q,MATCH($D124,Producer!$A:$A,0)),"")</f>
        <v/>
      </c>
      <c r="D124" s="146" t="str">
        <f>IFERROR(VALUE(MID(Producer!$R$2,IF($D123="",1/0,FIND(_xlfn.CONCAT($D122,$D123),Producer!$R$2)+10),5)),"")</f>
        <v/>
      </c>
      <c r="E124" s="146" t="str">
        <f t="shared" si="29"/>
        <v/>
      </c>
      <c r="F124" s="146"/>
      <c r="G124" s="147" t="str">
        <f>_xlfn.IFNA(VALUE(INDEX(Producer!$F:$F,MATCH($D124,Producer!$A:$A,0)))*100,"")</f>
        <v/>
      </c>
      <c r="H124" s="216" t="str">
        <f>_xlfn.IFNA(IFERROR(DATEVALUE(INDEX(Producer!$M:$M,MATCH($D124,Producer!$A:$A,0))),(INDEX(Producer!$M:$M,MATCH($D124,Producer!$A:$A,0)))),"")</f>
        <v/>
      </c>
      <c r="I124" s="217" t="str">
        <f>_xlfn.IFNA(VALUE(INDEX(Producer!$B:$B,MATCH($D124,Producer!$A:$A,0)))*12,"")</f>
        <v/>
      </c>
      <c r="J124" s="146" t="str">
        <f>_xlfn.IFNA(IF(C124="Residential",IF(VALUE(INDEX(Producer!$B:$B,MATCH($D124,Producer!$A:$A,0)))&lt;5,Constants!$C$10,""),IF(VALUE(INDEX(Producer!$B:$B,MATCH($D124,Producer!$A:$A,0)))&lt;5,Constants!$C$11,"")),"")</f>
        <v/>
      </c>
      <c r="K124" s="216" t="str">
        <f>_xlfn.IFNA(IF(($I124)&lt;60,DATE(YEAR(H124)+(5-VALUE(INDEX(Producer!$B:$B,MATCH($D124,Producer!$A:$A,0)))),MONTH(H124),DAY(H124)),""),"")</f>
        <v/>
      </c>
      <c r="L124" s="153" t="str">
        <f t="shared" si="30"/>
        <v/>
      </c>
      <c r="M124" s="146"/>
      <c r="N124" s="148"/>
      <c r="O124" s="148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6"/>
      <c r="AK124" s="146" t="str">
        <f>IF(D124="","",IF(C124="Residential",Constants!$B$10,Constants!$B$11))</f>
        <v/>
      </c>
      <c r="AL124" s="146" t="str">
        <f t="shared" si="31"/>
        <v/>
      </c>
      <c r="AM124" s="206" t="str">
        <f t="shared" si="32"/>
        <v/>
      </c>
      <c r="AN124" s="146" t="str">
        <f t="shared" si="33"/>
        <v/>
      </c>
      <c r="AO124" s="149" t="str">
        <f t="shared" si="34"/>
        <v/>
      </c>
      <c r="AP124" s="150" t="str">
        <f t="shared" si="35"/>
        <v/>
      </c>
      <c r="AQ124" s="146" t="str">
        <f>IFERROR(_xlfn.IFNA(IF($BA124="No",0,IF(INDEX(Constants!B:B,MATCH(($I124/12),Constants!$A:$A,0))=0,0,INDEX(Constants!B:B,MATCH(($I124/12),Constants!$A:$A,0)))),0),"")</f>
        <v/>
      </c>
      <c r="AR124" s="146" t="str">
        <f>IFERROR(_xlfn.IFNA(IF($BA124="No",0,IF(INDEX(Constants!C:C,MATCH(($I124/12),Constants!$A:$A,0))=0,0,INDEX(Constants!C:C,MATCH(($I124/12),Constants!$A:$A,0)))),0),"")</f>
        <v/>
      </c>
      <c r="AS124" s="146" t="str">
        <f>IFERROR(_xlfn.IFNA(IF($BA124="No",0,IF(INDEX(Constants!D:D,MATCH(($I124/12),Constants!$A:$A,0))=0,0,INDEX(Constants!D:D,MATCH(($I124/12),Constants!$A:$A,0)))),0),"")</f>
        <v/>
      </c>
      <c r="AT124" s="146" t="str">
        <f>IFERROR(_xlfn.IFNA(IF($BA124="No",0,IF(INDEX(Constants!E:E,MATCH(($I124/12),Constants!$A:$A,0))=0,0,INDEX(Constants!E:E,MATCH(($I124/12),Constants!$A:$A,0)))),0),"")</f>
        <v/>
      </c>
      <c r="AU124" s="146" t="str">
        <f>IFERROR(_xlfn.IFNA(IF($BA124="No",0,IF(INDEX(Constants!F:F,MATCH(($I124/12),Constants!$A:$A,0))=0,0,INDEX(Constants!F:F,MATCH(($I124/12),Constants!$A:$A,0)))),0),"")</f>
        <v/>
      </c>
      <c r="AV124" s="146" t="str">
        <f>IFERROR(_xlfn.IFNA(IF($BA124="No",0,IF(INDEX(Constants!G:G,MATCH(($I124/12),Constants!$A:$A,0))=0,0,INDEX(Constants!G:G,MATCH(($I124/12),Constants!$A:$A,0)))),0),"")</f>
        <v/>
      </c>
      <c r="AW124" s="146" t="str">
        <f>IFERROR(_xlfn.IFNA(IF($BA124="No",0,IF(INDEX(Constants!H:H,MATCH(($I124/12),Constants!$A:$A,0))=0,0,INDEX(Constants!H:H,MATCH(($I124/12),Constants!$A:$A,0)))),0),"")</f>
        <v/>
      </c>
      <c r="AX124" s="146" t="str">
        <f>IFERROR(_xlfn.IFNA(IF($BA124="No",0,IF(INDEX(Constants!I:I,MATCH(($I124/12),Constants!$A:$A,0))=0,0,INDEX(Constants!I:I,MATCH(($I124/12),Constants!$A:$A,0)))),0),"")</f>
        <v/>
      </c>
      <c r="AY124" s="146" t="str">
        <f>IFERROR(_xlfn.IFNA(IF($BA124="No",0,IF(INDEX(Constants!J:J,MATCH(($I124/12),Constants!$A:$A,0))=0,0,INDEX(Constants!J:J,MATCH(($I124/12),Constants!$A:$A,0)))),0),"")</f>
        <v/>
      </c>
      <c r="AZ124" s="146" t="str">
        <f>IFERROR(_xlfn.IFNA(IF($BA124="No",0,IF(INDEX(Constants!K:K,MATCH(($I124/12),Constants!$A:$A,0))=0,0,INDEX(Constants!K:K,MATCH(($I124/12),Constants!$A:$A,0)))),0),"")</f>
        <v/>
      </c>
      <c r="BA124" s="147" t="str">
        <f>_xlfn.IFNA(INDEX(Producer!$L:$L,MATCH($D124,Producer!$A:$A,0)),"")</f>
        <v/>
      </c>
      <c r="BB124" s="146" t="str">
        <f>IFERROR(IF(AQ124=0,"",IF(($I124/12)=15,_xlfn.CONCAT(Constants!$N$7,TEXT(DATE(YEAR(H124)-(($I124/12)-3),MONTH(H124),DAY(H124)),"dd/mm/yyyy"),", ",Constants!$P$7,TEXT(DATE(YEAR(H124)-(($I124/12)-8),MONTH(H124),DAY(H124)),"dd/mm/yyyy"),", ",Constants!$T$7,TEXT(DATE(YEAR(H124)-(($I124/12)-11),MONTH(H124),DAY(H124)),"dd/mm/yyyy"),", ",Constants!$V$7,TEXT(DATE(YEAR(H124)-(($I124/12)-13),MONTH(H124),DAY(H124)),"dd/mm/yyyy"),", ",Constants!$W$7,TEXT($H124,"dd/mm/yyyy")),IF(($I124/12)=10,_xlfn.CONCAT(Constants!$N$6,TEXT(DATE(YEAR(H124)-(($I124/12)-2),MONTH(H124),DAY(H124)),"dd/mm/yyyy"),", ",Constants!$P$6,TEXT(DATE(YEAR(H124)-(($I124/12)-6),MONTH(H124),DAY(H124)),"dd/mm/yyyy"),", ",Constants!$T$6,TEXT(DATE(YEAR(H124)-(($I124/12)-8),MONTH(H124),DAY(H124)),"dd/mm/yyyy"),", ",Constants!$V$6,TEXT(DATE(YEAR(H124)-(($I124/12)-9),MONTH(H124),DAY(H124)),"dd/mm/yyyy"),", ",Constants!$W$6,TEXT($H124,"dd/mm/yyyy")),IF(($I124/12)=5,_xlfn.CONCAT(Constants!$N$5,TEXT(DATE(YEAR(H124)-(($I124/12)-1),MONTH(H124),DAY(H124)),"dd/mm/yyyy"),", ",Constants!$O$5,TEXT(DATE(YEAR(H124)-(($I124/12)-2),MONTH(H124),DAY(H124)),"dd/mm/yyyy"),", ",Constants!$P$5,TEXT(DATE(YEAR(H124)-(($I124/12)-3),MONTH(H124),DAY(H124)),"dd/mm/yyyy"),", ",Constants!$Q$5,TEXT(DATE(YEAR(H124)-(($I124/12)-4),MONTH(H124),DAY(H124)),"dd/mm/yyyy"),", ",Constants!$R$5,TEXT($H124,"dd/mm/yyyy")),IF(($I124/12)=3,_xlfn.CONCAT(Constants!$N$4,TEXT(DATE(YEAR(H124)-(($I124/12)-1),MONTH(H124),DAY(H124)),"dd/mm/yyyy"),", ",Constants!$O$4,TEXT(DATE(YEAR(H124)-(($I124/12)-2),MONTH(H124),DAY(H124)),"dd/mm/yyyy"),", ",Constants!$P$4,TEXT($H124,"dd/mm/yyyy")),IF(($I124/12)=2,_xlfn.CONCAT(Constants!$N$3,TEXT(DATE(YEAR(H124)-(($I124/12)-1),MONTH(H124),DAY(H124)),"dd/mm/yyyy"),", ",Constants!$O$3,TEXT($H124,"dd/mm/yyyy")),IF(($I124/12)=1,_xlfn.CONCAT(Constants!$N$2,TEXT($H124,"dd/mm/yyyy")),"Update Constants"))))))),"")</f>
        <v/>
      </c>
      <c r="BC124" s="147" t="str">
        <f>_xlfn.IFNA(VALUE(INDEX(Producer!$K:$K,MATCH($D124,Producer!$A:$A,0))),"")</f>
        <v/>
      </c>
      <c r="BD124" s="147" t="str">
        <f>_xlfn.IFNA(INDEX(Producer!$I:$I,MATCH($D124,Producer!$A:$A,0)),"")</f>
        <v/>
      </c>
      <c r="BE124" s="147" t="str">
        <f t="shared" si="36"/>
        <v/>
      </c>
      <c r="BF124" s="147"/>
      <c r="BG124" s="147"/>
      <c r="BH124" s="151" t="str">
        <f>_xlfn.IFNA(INDEX(Constants!$B:$B,MATCH(BC124,Constants!A:A,0)),"")</f>
        <v/>
      </c>
      <c r="BI124" s="147" t="str">
        <f>IF(LEFT(B124,15)="Limited Company",Constants!$D$16,IFERROR(_xlfn.IFNA(IF(C124="Residential",IF(BK124&lt;75,INDEX(Constants!$B:$B,MATCH(VALUE(60)/100,Constants!$A:$A,0)),INDEX(Constants!$B:$B,MATCH(VALUE(BK124)/100,Constants!$A:$A,0))),IF(BK124&lt;60,INDEX(Constants!$C:$C,MATCH(VALUE(60)/100,Constants!$A:$A,0)),INDEX(Constants!$C:$C,MATCH(VALUE(BK124)/100,Constants!$A:$A,0)))),""),""))</f>
        <v/>
      </c>
      <c r="BJ124" s="147" t="str">
        <f t="shared" si="37"/>
        <v/>
      </c>
      <c r="BK124" s="147" t="str">
        <f>_xlfn.IFNA(VALUE(INDEX(Producer!$E:$E,MATCH($D124,Producer!$A:$A,0)))*100,"")</f>
        <v/>
      </c>
      <c r="BL124" s="146" t="str">
        <f>_xlfn.IFNA(IF(IFERROR(FIND("Part &amp; Part",B124),-10)&gt;0,"PP",IF(OR(LEFT(B124,25)="Residential Interest Only",INDEX(Producer!$P:$P,MATCH($D124,Producer!$A:$A,0))="IO",INDEX(Producer!$P:$P,MATCH($D124,Producer!$A:$A,0))="Retirement Interest Only"),"IO",IF($C124="BuyToLet","CI, IO","CI"))),"")</f>
        <v/>
      </c>
      <c r="BM124" s="152" t="str">
        <f>_xlfn.IFNA(IF(BL124="IO",100%,IF(AND(INDEX(Producer!$P:$P,MATCH($D124,Producer!$A:$A,0))="Residential Interest Only Part &amp; Part",BK124=75),80%,IF(C124="BuyToLet",100%,IF(BL124="Interest Only",100%,IF(AND(INDEX(Producer!$P:$P,MATCH($D124,Producer!$A:$A,0))="Residential Interest Only Part &amp; Part",BK124=60),100%,""))))),"")</f>
        <v/>
      </c>
      <c r="BN124" s="218" t="str">
        <f>_xlfn.IFNA(IF(VALUE(INDEX(Producer!$H:$H,MATCH($D124,Producer!$A:$A,0)))=0,"",VALUE(INDEX(Producer!$H:$H,MATCH($D124,Producer!$A:$A,0)))),"")</f>
        <v/>
      </c>
      <c r="BO124" s="153"/>
      <c r="BP124" s="153"/>
      <c r="BQ124" s="219" t="str">
        <f t="shared" si="38"/>
        <v/>
      </c>
      <c r="BR124" s="146"/>
      <c r="BS124" s="146"/>
      <c r="BT124" s="146"/>
      <c r="BU124" s="146"/>
      <c r="BV124" s="219" t="str">
        <f t="shared" si="39"/>
        <v/>
      </c>
      <c r="BW124" s="146"/>
      <c r="BX124" s="146"/>
      <c r="BY124" s="146" t="str">
        <f t="shared" si="40"/>
        <v/>
      </c>
      <c r="BZ124" s="146" t="str">
        <f t="shared" si="41"/>
        <v/>
      </c>
      <c r="CA124" s="146" t="str">
        <f t="shared" si="42"/>
        <v/>
      </c>
      <c r="CB124" s="146" t="str">
        <f t="shared" si="43"/>
        <v/>
      </c>
      <c r="CC124" s="146" t="str">
        <f>_xlfn.IFNA(IF(INDEX(Producer!$P:$P,MATCH($D124,Producer!$A:$A,0))="Help to Buy","Only available","No"),"")</f>
        <v/>
      </c>
      <c r="CD124" s="146" t="str">
        <f>_xlfn.IFNA(IF(INDEX(Producer!$P:$P,MATCH($D124,Producer!$A:$A,0))="Shared Ownership","Only available","No"),"")</f>
        <v/>
      </c>
      <c r="CE124" s="146" t="str">
        <f>_xlfn.IFNA(IF(INDEX(Producer!$P:$P,MATCH($D124,Producer!$A:$A,0))="Right to Buy","Only available","No"),"")</f>
        <v/>
      </c>
      <c r="CF124" s="146" t="str">
        <f t="shared" si="44"/>
        <v/>
      </c>
      <c r="CG124" s="146" t="str">
        <f>_xlfn.IFNA(IF(INDEX(Producer!$P:$P,MATCH($D124,Producer!$A:$A,0))="Retirement Interest Only","Only available","No"),"")</f>
        <v/>
      </c>
      <c r="CH124" s="146" t="str">
        <f t="shared" si="45"/>
        <v/>
      </c>
      <c r="CI124" s="146" t="str">
        <f>_xlfn.IFNA(IF(INDEX(Producer!$P:$P,MATCH($D124,Producer!$A:$A,0))="Intermediary Holiday Let","Only available","No"),"")</f>
        <v/>
      </c>
      <c r="CJ124" s="146" t="str">
        <f t="shared" si="46"/>
        <v/>
      </c>
      <c r="CK124" s="146" t="str">
        <f>_xlfn.IFNA(IF(OR(INDEX(Producer!$P:$P,MATCH($D124,Producer!$A:$A,0))="Intermediary Small HMO",INDEX(Producer!$P:$P,MATCH($D124,Producer!$A:$A,0))="Intermediary Large HMO"),"Only available","No"),"")</f>
        <v/>
      </c>
      <c r="CL124" s="146" t="str">
        <f t="shared" si="47"/>
        <v/>
      </c>
      <c r="CM124" s="146" t="str">
        <f t="shared" si="48"/>
        <v/>
      </c>
      <c r="CN124" s="146" t="str">
        <f t="shared" si="49"/>
        <v/>
      </c>
      <c r="CO124" s="146" t="str">
        <f t="shared" si="50"/>
        <v/>
      </c>
      <c r="CP124" s="146" t="str">
        <f t="shared" si="51"/>
        <v/>
      </c>
      <c r="CQ124" s="146" t="str">
        <f t="shared" si="52"/>
        <v/>
      </c>
      <c r="CR124" s="146" t="str">
        <f t="shared" si="53"/>
        <v/>
      </c>
      <c r="CS124" s="146" t="str">
        <f t="shared" si="54"/>
        <v/>
      </c>
      <c r="CT124" s="146" t="str">
        <f t="shared" si="55"/>
        <v/>
      </c>
      <c r="CU124" s="146"/>
    </row>
    <row r="125" spans="1:99" ht="16.399999999999999" customHeight="1" x14ac:dyDescent="0.35">
      <c r="A125" s="145" t="str">
        <f t="shared" si="28"/>
        <v/>
      </c>
      <c r="B125" s="145" t="str">
        <f>_xlfn.IFNA(_xlfn.CONCAT(INDEX(Producer!$P:$P,MATCH($D125,Producer!$A:$A,0))," ",IF(INDEX(Producer!$N:$N,MATCH($D125,Producer!$A:$A,0))="Yes","Green ",""),IF(AND(INDEX(Producer!$L:$L,MATCH($D125,Producer!$A:$A,0))="No",INDEX(Producer!$C:$C,MATCH($D125,Producer!$A:$A,0))="Fixed"),"Flexit ",""),INDEX(Producer!$B:$B,MATCH($D125,Producer!$A:$A,0))," Year ",INDEX(Producer!$C:$C,MATCH($D125,Producer!$A:$A,0))," ",VALUE(INDEX(Producer!$E:$E,MATCH($D125,Producer!$A:$A,0)))*100,"% LTV",IF(INDEX(Producer!$N:$N,MATCH($D125,Producer!$A:$A,0))="Yes"," (EPC A-C)","")," - ",IF(INDEX(Producer!$D:$D,MATCH($D125,Producer!$A:$A,0))="DLY","Daily","Annual")),"")</f>
        <v/>
      </c>
      <c r="C125" s="146" t="str">
        <f>_xlfn.IFNA(INDEX(Producer!$Q:$Q,MATCH($D125,Producer!$A:$A,0)),"")</f>
        <v/>
      </c>
      <c r="D125" s="146" t="str">
        <f>IFERROR(VALUE(MID(Producer!$R$2,IF($D124="",1/0,FIND(_xlfn.CONCAT($D123,$D124),Producer!$R$2)+10),5)),"")</f>
        <v/>
      </c>
      <c r="E125" s="146" t="str">
        <f t="shared" si="29"/>
        <v/>
      </c>
      <c r="F125" s="146"/>
      <c r="G125" s="147" t="str">
        <f>_xlfn.IFNA(VALUE(INDEX(Producer!$F:$F,MATCH($D125,Producer!$A:$A,0)))*100,"")</f>
        <v/>
      </c>
      <c r="H125" s="216" t="str">
        <f>_xlfn.IFNA(IFERROR(DATEVALUE(INDEX(Producer!$M:$M,MATCH($D125,Producer!$A:$A,0))),(INDEX(Producer!$M:$M,MATCH($D125,Producer!$A:$A,0)))),"")</f>
        <v/>
      </c>
      <c r="I125" s="217" t="str">
        <f>_xlfn.IFNA(VALUE(INDEX(Producer!$B:$B,MATCH($D125,Producer!$A:$A,0)))*12,"")</f>
        <v/>
      </c>
      <c r="J125" s="146" t="str">
        <f>_xlfn.IFNA(IF(C125="Residential",IF(VALUE(INDEX(Producer!$B:$B,MATCH($D125,Producer!$A:$A,0)))&lt;5,Constants!$C$10,""),IF(VALUE(INDEX(Producer!$B:$B,MATCH($D125,Producer!$A:$A,0)))&lt;5,Constants!$C$11,"")),"")</f>
        <v/>
      </c>
      <c r="K125" s="216" t="str">
        <f>_xlfn.IFNA(IF(($I125)&lt;60,DATE(YEAR(H125)+(5-VALUE(INDEX(Producer!$B:$B,MATCH($D125,Producer!$A:$A,0)))),MONTH(H125),DAY(H125)),""),"")</f>
        <v/>
      </c>
      <c r="L125" s="153" t="str">
        <f t="shared" si="30"/>
        <v/>
      </c>
      <c r="M125" s="146"/>
      <c r="N125" s="148"/>
      <c r="O125" s="148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 t="str">
        <f>IF(D125="","",IF(C125="Residential",Constants!$B$10,Constants!$B$11))</f>
        <v/>
      </c>
      <c r="AL125" s="146" t="str">
        <f t="shared" si="31"/>
        <v/>
      </c>
      <c r="AM125" s="206" t="str">
        <f t="shared" si="32"/>
        <v/>
      </c>
      <c r="AN125" s="146" t="str">
        <f t="shared" si="33"/>
        <v/>
      </c>
      <c r="AO125" s="149" t="str">
        <f t="shared" si="34"/>
        <v/>
      </c>
      <c r="AP125" s="150" t="str">
        <f t="shared" si="35"/>
        <v/>
      </c>
      <c r="AQ125" s="146" t="str">
        <f>IFERROR(_xlfn.IFNA(IF($BA125="No",0,IF(INDEX(Constants!B:B,MATCH(($I125/12),Constants!$A:$A,0))=0,0,INDEX(Constants!B:B,MATCH(($I125/12),Constants!$A:$A,0)))),0),"")</f>
        <v/>
      </c>
      <c r="AR125" s="146" t="str">
        <f>IFERROR(_xlfn.IFNA(IF($BA125="No",0,IF(INDEX(Constants!C:C,MATCH(($I125/12),Constants!$A:$A,0))=0,0,INDEX(Constants!C:C,MATCH(($I125/12),Constants!$A:$A,0)))),0),"")</f>
        <v/>
      </c>
      <c r="AS125" s="146" t="str">
        <f>IFERROR(_xlfn.IFNA(IF($BA125="No",0,IF(INDEX(Constants!D:D,MATCH(($I125/12),Constants!$A:$A,0))=0,0,INDEX(Constants!D:D,MATCH(($I125/12),Constants!$A:$A,0)))),0),"")</f>
        <v/>
      </c>
      <c r="AT125" s="146" t="str">
        <f>IFERROR(_xlfn.IFNA(IF($BA125="No",0,IF(INDEX(Constants!E:E,MATCH(($I125/12),Constants!$A:$A,0))=0,0,INDEX(Constants!E:E,MATCH(($I125/12),Constants!$A:$A,0)))),0),"")</f>
        <v/>
      </c>
      <c r="AU125" s="146" t="str">
        <f>IFERROR(_xlfn.IFNA(IF($BA125="No",0,IF(INDEX(Constants!F:F,MATCH(($I125/12),Constants!$A:$A,0))=0,0,INDEX(Constants!F:F,MATCH(($I125/12),Constants!$A:$A,0)))),0),"")</f>
        <v/>
      </c>
      <c r="AV125" s="146" t="str">
        <f>IFERROR(_xlfn.IFNA(IF($BA125="No",0,IF(INDEX(Constants!G:G,MATCH(($I125/12),Constants!$A:$A,0))=0,0,INDEX(Constants!G:G,MATCH(($I125/12),Constants!$A:$A,0)))),0),"")</f>
        <v/>
      </c>
      <c r="AW125" s="146" t="str">
        <f>IFERROR(_xlfn.IFNA(IF($BA125="No",0,IF(INDEX(Constants!H:H,MATCH(($I125/12),Constants!$A:$A,0))=0,0,INDEX(Constants!H:H,MATCH(($I125/12),Constants!$A:$A,0)))),0),"")</f>
        <v/>
      </c>
      <c r="AX125" s="146" t="str">
        <f>IFERROR(_xlfn.IFNA(IF($BA125="No",0,IF(INDEX(Constants!I:I,MATCH(($I125/12),Constants!$A:$A,0))=0,0,INDEX(Constants!I:I,MATCH(($I125/12),Constants!$A:$A,0)))),0),"")</f>
        <v/>
      </c>
      <c r="AY125" s="146" t="str">
        <f>IFERROR(_xlfn.IFNA(IF($BA125="No",0,IF(INDEX(Constants!J:J,MATCH(($I125/12),Constants!$A:$A,0))=0,0,INDEX(Constants!J:J,MATCH(($I125/12),Constants!$A:$A,0)))),0),"")</f>
        <v/>
      </c>
      <c r="AZ125" s="146" t="str">
        <f>IFERROR(_xlfn.IFNA(IF($BA125="No",0,IF(INDEX(Constants!K:K,MATCH(($I125/12),Constants!$A:$A,0))=0,0,INDEX(Constants!K:K,MATCH(($I125/12),Constants!$A:$A,0)))),0),"")</f>
        <v/>
      </c>
      <c r="BA125" s="147" t="str">
        <f>_xlfn.IFNA(INDEX(Producer!$L:$L,MATCH($D125,Producer!$A:$A,0)),"")</f>
        <v/>
      </c>
      <c r="BB125" s="146" t="str">
        <f>IFERROR(IF(AQ125=0,"",IF(($I125/12)=15,_xlfn.CONCAT(Constants!$N$7,TEXT(DATE(YEAR(H125)-(($I125/12)-3),MONTH(H125),DAY(H125)),"dd/mm/yyyy"),", ",Constants!$P$7,TEXT(DATE(YEAR(H125)-(($I125/12)-8),MONTH(H125),DAY(H125)),"dd/mm/yyyy"),", ",Constants!$T$7,TEXT(DATE(YEAR(H125)-(($I125/12)-11),MONTH(H125),DAY(H125)),"dd/mm/yyyy"),", ",Constants!$V$7,TEXT(DATE(YEAR(H125)-(($I125/12)-13),MONTH(H125),DAY(H125)),"dd/mm/yyyy"),", ",Constants!$W$7,TEXT($H125,"dd/mm/yyyy")),IF(($I125/12)=10,_xlfn.CONCAT(Constants!$N$6,TEXT(DATE(YEAR(H125)-(($I125/12)-2),MONTH(H125),DAY(H125)),"dd/mm/yyyy"),", ",Constants!$P$6,TEXT(DATE(YEAR(H125)-(($I125/12)-6),MONTH(H125),DAY(H125)),"dd/mm/yyyy"),", ",Constants!$T$6,TEXT(DATE(YEAR(H125)-(($I125/12)-8),MONTH(H125),DAY(H125)),"dd/mm/yyyy"),", ",Constants!$V$6,TEXT(DATE(YEAR(H125)-(($I125/12)-9),MONTH(H125),DAY(H125)),"dd/mm/yyyy"),", ",Constants!$W$6,TEXT($H125,"dd/mm/yyyy")),IF(($I125/12)=5,_xlfn.CONCAT(Constants!$N$5,TEXT(DATE(YEAR(H125)-(($I125/12)-1),MONTH(H125),DAY(H125)),"dd/mm/yyyy"),", ",Constants!$O$5,TEXT(DATE(YEAR(H125)-(($I125/12)-2),MONTH(H125),DAY(H125)),"dd/mm/yyyy"),", ",Constants!$P$5,TEXT(DATE(YEAR(H125)-(($I125/12)-3),MONTH(H125),DAY(H125)),"dd/mm/yyyy"),", ",Constants!$Q$5,TEXT(DATE(YEAR(H125)-(($I125/12)-4),MONTH(H125),DAY(H125)),"dd/mm/yyyy"),", ",Constants!$R$5,TEXT($H125,"dd/mm/yyyy")),IF(($I125/12)=3,_xlfn.CONCAT(Constants!$N$4,TEXT(DATE(YEAR(H125)-(($I125/12)-1),MONTH(H125),DAY(H125)),"dd/mm/yyyy"),", ",Constants!$O$4,TEXT(DATE(YEAR(H125)-(($I125/12)-2),MONTH(H125),DAY(H125)),"dd/mm/yyyy"),", ",Constants!$P$4,TEXT($H125,"dd/mm/yyyy")),IF(($I125/12)=2,_xlfn.CONCAT(Constants!$N$3,TEXT(DATE(YEAR(H125)-(($I125/12)-1),MONTH(H125),DAY(H125)),"dd/mm/yyyy"),", ",Constants!$O$3,TEXT($H125,"dd/mm/yyyy")),IF(($I125/12)=1,_xlfn.CONCAT(Constants!$N$2,TEXT($H125,"dd/mm/yyyy")),"Update Constants"))))))),"")</f>
        <v/>
      </c>
      <c r="BC125" s="147" t="str">
        <f>_xlfn.IFNA(VALUE(INDEX(Producer!$K:$K,MATCH($D125,Producer!$A:$A,0))),"")</f>
        <v/>
      </c>
      <c r="BD125" s="147" t="str">
        <f>_xlfn.IFNA(INDEX(Producer!$I:$I,MATCH($D125,Producer!$A:$A,0)),"")</f>
        <v/>
      </c>
      <c r="BE125" s="147" t="str">
        <f t="shared" si="36"/>
        <v/>
      </c>
      <c r="BF125" s="147"/>
      <c r="BG125" s="147"/>
      <c r="BH125" s="151" t="str">
        <f>_xlfn.IFNA(INDEX(Constants!$B:$B,MATCH(BC125,Constants!A:A,0)),"")</f>
        <v/>
      </c>
      <c r="BI125" s="147" t="str">
        <f>IF(LEFT(B125,15)="Limited Company",Constants!$D$16,IFERROR(_xlfn.IFNA(IF(C125="Residential",IF(BK125&lt;75,INDEX(Constants!$B:$B,MATCH(VALUE(60)/100,Constants!$A:$A,0)),INDEX(Constants!$B:$B,MATCH(VALUE(BK125)/100,Constants!$A:$A,0))),IF(BK125&lt;60,INDEX(Constants!$C:$C,MATCH(VALUE(60)/100,Constants!$A:$A,0)),INDEX(Constants!$C:$C,MATCH(VALUE(BK125)/100,Constants!$A:$A,0)))),""),""))</f>
        <v/>
      </c>
      <c r="BJ125" s="147" t="str">
        <f t="shared" si="37"/>
        <v/>
      </c>
      <c r="BK125" s="147" t="str">
        <f>_xlfn.IFNA(VALUE(INDEX(Producer!$E:$E,MATCH($D125,Producer!$A:$A,0)))*100,"")</f>
        <v/>
      </c>
      <c r="BL125" s="146" t="str">
        <f>_xlfn.IFNA(IF(IFERROR(FIND("Part &amp; Part",B125),-10)&gt;0,"PP",IF(OR(LEFT(B125,25)="Residential Interest Only",INDEX(Producer!$P:$P,MATCH($D125,Producer!$A:$A,0))="IO",INDEX(Producer!$P:$P,MATCH($D125,Producer!$A:$A,0))="Retirement Interest Only"),"IO",IF($C125="BuyToLet","CI, IO","CI"))),"")</f>
        <v/>
      </c>
      <c r="BM125" s="152" t="str">
        <f>_xlfn.IFNA(IF(BL125="IO",100%,IF(AND(INDEX(Producer!$P:$P,MATCH($D125,Producer!$A:$A,0))="Residential Interest Only Part &amp; Part",BK125=75),80%,IF(C125="BuyToLet",100%,IF(BL125="Interest Only",100%,IF(AND(INDEX(Producer!$P:$P,MATCH($D125,Producer!$A:$A,0))="Residential Interest Only Part &amp; Part",BK125=60),100%,""))))),"")</f>
        <v/>
      </c>
      <c r="BN125" s="218" t="str">
        <f>_xlfn.IFNA(IF(VALUE(INDEX(Producer!$H:$H,MATCH($D125,Producer!$A:$A,0)))=0,"",VALUE(INDEX(Producer!$H:$H,MATCH($D125,Producer!$A:$A,0)))),"")</f>
        <v/>
      </c>
      <c r="BO125" s="153"/>
      <c r="BP125" s="153"/>
      <c r="BQ125" s="219" t="str">
        <f t="shared" si="38"/>
        <v/>
      </c>
      <c r="BR125" s="146"/>
      <c r="BS125" s="146"/>
      <c r="BT125" s="146"/>
      <c r="BU125" s="146"/>
      <c r="BV125" s="219" t="str">
        <f t="shared" si="39"/>
        <v/>
      </c>
      <c r="BW125" s="146"/>
      <c r="BX125" s="146"/>
      <c r="BY125" s="146" t="str">
        <f t="shared" si="40"/>
        <v/>
      </c>
      <c r="BZ125" s="146" t="str">
        <f t="shared" si="41"/>
        <v/>
      </c>
      <c r="CA125" s="146" t="str">
        <f t="shared" si="42"/>
        <v/>
      </c>
      <c r="CB125" s="146" t="str">
        <f t="shared" si="43"/>
        <v/>
      </c>
      <c r="CC125" s="146" t="str">
        <f>_xlfn.IFNA(IF(INDEX(Producer!$P:$P,MATCH($D125,Producer!$A:$A,0))="Help to Buy","Only available","No"),"")</f>
        <v/>
      </c>
      <c r="CD125" s="146" t="str">
        <f>_xlfn.IFNA(IF(INDEX(Producer!$P:$P,MATCH($D125,Producer!$A:$A,0))="Shared Ownership","Only available","No"),"")</f>
        <v/>
      </c>
      <c r="CE125" s="146" t="str">
        <f>_xlfn.IFNA(IF(INDEX(Producer!$P:$P,MATCH($D125,Producer!$A:$A,0))="Right to Buy","Only available","No"),"")</f>
        <v/>
      </c>
      <c r="CF125" s="146" t="str">
        <f t="shared" si="44"/>
        <v/>
      </c>
      <c r="CG125" s="146" t="str">
        <f>_xlfn.IFNA(IF(INDEX(Producer!$P:$P,MATCH($D125,Producer!$A:$A,0))="Retirement Interest Only","Only available","No"),"")</f>
        <v/>
      </c>
      <c r="CH125" s="146" t="str">
        <f t="shared" si="45"/>
        <v/>
      </c>
      <c r="CI125" s="146" t="str">
        <f>_xlfn.IFNA(IF(INDEX(Producer!$P:$P,MATCH($D125,Producer!$A:$A,0))="Intermediary Holiday Let","Only available","No"),"")</f>
        <v/>
      </c>
      <c r="CJ125" s="146" t="str">
        <f t="shared" si="46"/>
        <v/>
      </c>
      <c r="CK125" s="146" t="str">
        <f>_xlfn.IFNA(IF(OR(INDEX(Producer!$P:$P,MATCH($D125,Producer!$A:$A,0))="Intermediary Small HMO",INDEX(Producer!$P:$P,MATCH($D125,Producer!$A:$A,0))="Intermediary Large HMO"),"Only available","No"),"")</f>
        <v/>
      </c>
      <c r="CL125" s="146" t="str">
        <f t="shared" si="47"/>
        <v/>
      </c>
      <c r="CM125" s="146" t="str">
        <f t="shared" si="48"/>
        <v/>
      </c>
      <c r="CN125" s="146" t="str">
        <f t="shared" si="49"/>
        <v/>
      </c>
      <c r="CO125" s="146" t="str">
        <f t="shared" si="50"/>
        <v/>
      </c>
      <c r="CP125" s="146" t="str">
        <f t="shared" si="51"/>
        <v/>
      </c>
      <c r="CQ125" s="146" t="str">
        <f t="shared" si="52"/>
        <v/>
      </c>
      <c r="CR125" s="146" t="str">
        <f t="shared" si="53"/>
        <v/>
      </c>
      <c r="CS125" s="146" t="str">
        <f t="shared" si="54"/>
        <v/>
      </c>
      <c r="CT125" s="146" t="str">
        <f t="shared" si="55"/>
        <v/>
      </c>
      <c r="CU125" s="146"/>
    </row>
    <row r="126" spans="1:99" ht="16.399999999999999" customHeight="1" x14ac:dyDescent="0.35">
      <c r="A126" s="145" t="str">
        <f t="shared" si="28"/>
        <v/>
      </c>
      <c r="B126" s="145" t="str">
        <f>_xlfn.IFNA(_xlfn.CONCAT(INDEX(Producer!$P:$P,MATCH($D126,Producer!$A:$A,0))," ",IF(INDEX(Producer!$N:$N,MATCH($D126,Producer!$A:$A,0))="Yes","Green ",""),IF(AND(INDEX(Producer!$L:$L,MATCH($D126,Producer!$A:$A,0))="No",INDEX(Producer!$C:$C,MATCH($D126,Producer!$A:$A,0))="Fixed"),"Flexit ",""),INDEX(Producer!$B:$B,MATCH($D126,Producer!$A:$A,0))," Year ",INDEX(Producer!$C:$C,MATCH($D126,Producer!$A:$A,0))," ",VALUE(INDEX(Producer!$E:$E,MATCH($D126,Producer!$A:$A,0)))*100,"% LTV",IF(INDEX(Producer!$N:$N,MATCH($D126,Producer!$A:$A,0))="Yes"," (EPC A-C)","")," - ",IF(INDEX(Producer!$D:$D,MATCH($D126,Producer!$A:$A,0))="DLY","Daily","Annual")),"")</f>
        <v/>
      </c>
      <c r="C126" s="146" t="str">
        <f>_xlfn.IFNA(INDEX(Producer!$Q:$Q,MATCH($D126,Producer!$A:$A,0)),"")</f>
        <v/>
      </c>
      <c r="D126" s="146" t="str">
        <f>IFERROR(VALUE(MID(Producer!$R$2,IF($D125="",1/0,FIND(_xlfn.CONCAT($D124,$D125),Producer!$R$2)+10),5)),"")</f>
        <v/>
      </c>
      <c r="E126" s="146" t="str">
        <f t="shared" si="29"/>
        <v/>
      </c>
      <c r="F126" s="146"/>
      <c r="G126" s="147" t="str">
        <f>_xlfn.IFNA(VALUE(INDEX(Producer!$F:$F,MATCH($D126,Producer!$A:$A,0)))*100,"")</f>
        <v/>
      </c>
      <c r="H126" s="216" t="str">
        <f>_xlfn.IFNA(IFERROR(DATEVALUE(INDEX(Producer!$M:$M,MATCH($D126,Producer!$A:$A,0))),(INDEX(Producer!$M:$M,MATCH($D126,Producer!$A:$A,0)))),"")</f>
        <v/>
      </c>
      <c r="I126" s="217" t="str">
        <f>_xlfn.IFNA(VALUE(INDEX(Producer!$B:$B,MATCH($D126,Producer!$A:$A,0)))*12,"")</f>
        <v/>
      </c>
      <c r="J126" s="146" t="str">
        <f>_xlfn.IFNA(IF(C126="Residential",IF(VALUE(INDEX(Producer!$B:$B,MATCH($D126,Producer!$A:$A,0)))&lt;5,Constants!$C$10,""),IF(VALUE(INDEX(Producer!$B:$B,MATCH($D126,Producer!$A:$A,0)))&lt;5,Constants!$C$11,"")),"")</f>
        <v/>
      </c>
      <c r="K126" s="216" t="str">
        <f>_xlfn.IFNA(IF(($I126)&lt;60,DATE(YEAR(H126)+(5-VALUE(INDEX(Producer!$B:$B,MATCH($D126,Producer!$A:$A,0)))),MONTH(H126),DAY(H126)),""),"")</f>
        <v/>
      </c>
      <c r="L126" s="153" t="str">
        <f t="shared" si="30"/>
        <v/>
      </c>
      <c r="M126" s="146"/>
      <c r="N126" s="148"/>
      <c r="O126" s="148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6"/>
      <c r="AK126" s="146" t="str">
        <f>IF(D126="","",IF(C126="Residential",Constants!$B$10,Constants!$B$11))</f>
        <v/>
      </c>
      <c r="AL126" s="146" t="str">
        <f t="shared" si="31"/>
        <v/>
      </c>
      <c r="AM126" s="206" t="str">
        <f t="shared" si="32"/>
        <v/>
      </c>
      <c r="AN126" s="146" t="str">
        <f t="shared" si="33"/>
        <v/>
      </c>
      <c r="AO126" s="149" t="str">
        <f t="shared" si="34"/>
        <v/>
      </c>
      <c r="AP126" s="150" t="str">
        <f t="shared" si="35"/>
        <v/>
      </c>
      <c r="AQ126" s="146" t="str">
        <f>IFERROR(_xlfn.IFNA(IF($BA126="No",0,IF(INDEX(Constants!B:B,MATCH(($I126/12),Constants!$A:$A,0))=0,0,INDEX(Constants!B:B,MATCH(($I126/12),Constants!$A:$A,0)))),0),"")</f>
        <v/>
      </c>
      <c r="AR126" s="146" t="str">
        <f>IFERROR(_xlfn.IFNA(IF($BA126="No",0,IF(INDEX(Constants!C:C,MATCH(($I126/12),Constants!$A:$A,0))=0,0,INDEX(Constants!C:C,MATCH(($I126/12),Constants!$A:$A,0)))),0),"")</f>
        <v/>
      </c>
      <c r="AS126" s="146" t="str">
        <f>IFERROR(_xlfn.IFNA(IF($BA126="No",0,IF(INDEX(Constants!D:D,MATCH(($I126/12),Constants!$A:$A,0))=0,0,INDEX(Constants!D:D,MATCH(($I126/12),Constants!$A:$A,0)))),0),"")</f>
        <v/>
      </c>
      <c r="AT126" s="146" t="str">
        <f>IFERROR(_xlfn.IFNA(IF($BA126="No",0,IF(INDEX(Constants!E:E,MATCH(($I126/12),Constants!$A:$A,0))=0,0,INDEX(Constants!E:E,MATCH(($I126/12),Constants!$A:$A,0)))),0),"")</f>
        <v/>
      </c>
      <c r="AU126" s="146" t="str">
        <f>IFERROR(_xlfn.IFNA(IF($BA126="No",0,IF(INDEX(Constants!F:F,MATCH(($I126/12),Constants!$A:$A,0))=0,0,INDEX(Constants!F:F,MATCH(($I126/12),Constants!$A:$A,0)))),0),"")</f>
        <v/>
      </c>
      <c r="AV126" s="146" t="str">
        <f>IFERROR(_xlfn.IFNA(IF($BA126="No",0,IF(INDEX(Constants!G:G,MATCH(($I126/12),Constants!$A:$A,0))=0,0,INDEX(Constants!G:G,MATCH(($I126/12),Constants!$A:$A,0)))),0),"")</f>
        <v/>
      </c>
      <c r="AW126" s="146" t="str">
        <f>IFERROR(_xlfn.IFNA(IF($BA126="No",0,IF(INDEX(Constants!H:H,MATCH(($I126/12),Constants!$A:$A,0))=0,0,INDEX(Constants!H:H,MATCH(($I126/12),Constants!$A:$A,0)))),0),"")</f>
        <v/>
      </c>
      <c r="AX126" s="146" t="str">
        <f>IFERROR(_xlfn.IFNA(IF($BA126="No",0,IF(INDEX(Constants!I:I,MATCH(($I126/12),Constants!$A:$A,0))=0,0,INDEX(Constants!I:I,MATCH(($I126/12),Constants!$A:$A,0)))),0),"")</f>
        <v/>
      </c>
      <c r="AY126" s="146" t="str">
        <f>IFERROR(_xlfn.IFNA(IF($BA126="No",0,IF(INDEX(Constants!J:J,MATCH(($I126/12),Constants!$A:$A,0))=0,0,INDEX(Constants!J:J,MATCH(($I126/12),Constants!$A:$A,0)))),0),"")</f>
        <v/>
      </c>
      <c r="AZ126" s="146" t="str">
        <f>IFERROR(_xlfn.IFNA(IF($BA126="No",0,IF(INDEX(Constants!K:K,MATCH(($I126/12),Constants!$A:$A,0))=0,0,INDEX(Constants!K:K,MATCH(($I126/12),Constants!$A:$A,0)))),0),"")</f>
        <v/>
      </c>
      <c r="BA126" s="147" t="str">
        <f>_xlfn.IFNA(INDEX(Producer!$L:$L,MATCH($D126,Producer!$A:$A,0)),"")</f>
        <v/>
      </c>
      <c r="BB126" s="146" t="str">
        <f>IFERROR(IF(AQ126=0,"",IF(($I126/12)=15,_xlfn.CONCAT(Constants!$N$7,TEXT(DATE(YEAR(H126)-(($I126/12)-3),MONTH(H126),DAY(H126)),"dd/mm/yyyy"),", ",Constants!$P$7,TEXT(DATE(YEAR(H126)-(($I126/12)-8),MONTH(H126),DAY(H126)),"dd/mm/yyyy"),", ",Constants!$T$7,TEXT(DATE(YEAR(H126)-(($I126/12)-11),MONTH(H126),DAY(H126)),"dd/mm/yyyy"),", ",Constants!$V$7,TEXT(DATE(YEAR(H126)-(($I126/12)-13),MONTH(H126),DAY(H126)),"dd/mm/yyyy"),", ",Constants!$W$7,TEXT($H126,"dd/mm/yyyy")),IF(($I126/12)=10,_xlfn.CONCAT(Constants!$N$6,TEXT(DATE(YEAR(H126)-(($I126/12)-2),MONTH(H126),DAY(H126)),"dd/mm/yyyy"),", ",Constants!$P$6,TEXT(DATE(YEAR(H126)-(($I126/12)-6),MONTH(H126),DAY(H126)),"dd/mm/yyyy"),", ",Constants!$T$6,TEXT(DATE(YEAR(H126)-(($I126/12)-8),MONTH(H126),DAY(H126)),"dd/mm/yyyy"),", ",Constants!$V$6,TEXT(DATE(YEAR(H126)-(($I126/12)-9),MONTH(H126),DAY(H126)),"dd/mm/yyyy"),", ",Constants!$W$6,TEXT($H126,"dd/mm/yyyy")),IF(($I126/12)=5,_xlfn.CONCAT(Constants!$N$5,TEXT(DATE(YEAR(H126)-(($I126/12)-1),MONTH(H126),DAY(H126)),"dd/mm/yyyy"),", ",Constants!$O$5,TEXT(DATE(YEAR(H126)-(($I126/12)-2),MONTH(H126),DAY(H126)),"dd/mm/yyyy"),", ",Constants!$P$5,TEXT(DATE(YEAR(H126)-(($I126/12)-3),MONTH(H126),DAY(H126)),"dd/mm/yyyy"),", ",Constants!$Q$5,TEXT(DATE(YEAR(H126)-(($I126/12)-4),MONTH(H126),DAY(H126)),"dd/mm/yyyy"),", ",Constants!$R$5,TEXT($H126,"dd/mm/yyyy")),IF(($I126/12)=3,_xlfn.CONCAT(Constants!$N$4,TEXT(DATE(YEAR(H126)-(($I126/12)-1),MONTH(H126),DAY(H126)),"dd/mm/yyyy"),", ",Constants!$O$4,TEXT(DATE(YEAR(H126)-(($I126/12)-2),MONTH(H126),DAY(H126)),"dd/mm/yyyy"),", ",Constants!$P$4,TEXT($H126,"dd/mm/yyyy")),IF(($I126/12)=2,_xlfn.CONCAT(Constants!$N$3,TEXT(DATE(YEAR(H126)-(($I126/12)-1),MONTH(H126),DAY(H126)),"dd/mm/yyyy"),", ",Constants!$O$3,TEXT($H126,"dd/mm/yyyy")),IF(($I126/12)=1,_xlfn.CONCAT(Constants!$N$2,TEXT($H126,"dd/mm/yyyy")),"Update Constants"))))))),"")</f>
        <v/>
      </c>
      <c r="BC126" s="147" t="str">
        <f>_xlfn.IFNA(VALUE(INDEX(Producer!$K:$K,MATCH($D126,Producer!$A:$A,0))),"")</f>
        <v/>
      </c>
      <c r="BD126" s="147" t="str">
        <f>_xlfn.IFNA(INDEX(Producer!$I:$I,MATCH($D126,Producer!$A:$A,0)),"")</f>
        <v/>
      </c>
      <c r="BE126" s="147" t="str">
        <f t="shared" si="36"/>
        <v/>
      </c>
      <c r="BF126" s="147"/>
      <c r="BG126" s="147"/>
      <c r="BH126" s="151" t="str">
        <f>_xlfn.IFNA(INDEX(Constants!$B:$B,MATCH(BC126,Constants!A:A,0)),"")</f>
        <v/>
      </c>
      <c r="BI126" s="147" t="str">
        <f>IF(LEFT(B126,15)="Limited Company",Constants!$D$16,IFERROR(_xlfn.IFNA(IF(C126="Residential",IF(BK126&lt;75,INDEX(Constants!$B:$B,MATCH(VALUE(60)/100,Constants!$A:$A,0)),INDEX(Constants!$B:$B,MATCH(VALUE(BK126)/100,Constants!$A:$A,0))),IF(BK126&lt;60,INDEX(Constants!$C:$C,MATCH(VALUE(60)/100,Constants!$A:$A,0)),INDEX(Constants!$C:$C,MATCH(VALUE(BK126)/100,Constants!$A:$A,0)))),""),""))</f>
        <v/>
      </c>
      <c r="BJ126" s="147" t="str">
        <f t="shared" si="37"/>
        <v/>
      </c>
      <c r="BK126" s="147" t="str">
        <f>_xlfn.IFNA(VALUE(INDEX(Producer!$E:$E,MATCH($D126,Producer!$A:$A,0)))*100,"")</f>
        <v/>
      </c>
      <c r="BL126" s="146" t="str">
        <f>_xlfn.IFNA(IF(IFERROR(FIND("Part &amp; Part",B126),-10)&gt;0,"PP",IF(OR(LEFT(B126,25)="Residential Interest Only",INDEX(Producer!$P:$P,MATCH($D126,Producer!$A:$A,0))="IO",INDEX(Producer!$P:$P,MATCH($D126,Producer!$A:$A,0))="Retirement Interest Only"),"IO",IF($C126="BuyToLet","CI, IO","CI"))),"")</f>
        <v/>
      </c>
      <c r="BM126" s="152" t="str">
        <f>_xlfn.IFNA(IF(BL126="IO",100%,IF(AND(INDEX(Producer!$P:$P,MATCH($D126,Producer!$A:$A,0))="Residential Interest Only Part &amp; Part",BK126=75),80%,IF(C126="BuyToLet",100%,IF(BL126="Interest Only",100%,IF(AND(INDEX(Producer!$P:$P,MATCH($D126,Producer!$A:$A,0))="Residential Interest Only Part &amp; Part",BK126=60),100%,""))))),"")</f>
        <v/>
      </c>
      <c r="BN126" s="218" t="str">
        <f>_xlfn.IFNA(IF(VALUE(INDEX(Producer!$H:$H,MATCH($D126,Producer!$A:$A,0)))=0,"",VALUE(INDEX(Producer!$H:$H,MATCH($D126,Producer!$A:$A,0)))),"")</f>
        <v/>
      </c>
      <c r="BO126" s="153"/>
      <c r="BP126" s="153"/>
      <c r="BQ126" s="219" t="str">
        <f t="shared" si="38"/>
        <v/>
      </c>
      <c r="BR126" s="146"/>
      <c r="BS126" s="146"/>
      <c r="BT126" s="146"/>
      <c r="BU126" s="146"/>
      <c r="BV126" s="219" t="str">
        <f t="shared" si="39"/>
        <v/>
      </c>
      <c r="BW126" s="146"/>
      <c r="BX126" s="146"/>
      <c r="BY126" s="146" t="str">
        <f t="shared" si="40"/>
        <v/>
      </c>
      <c r="BZ126" s="146" t="str">
        <f t="shared" si="41"/>
        <v/>
      </c>
      <c r="CA126" s="146" t="str">
        <f t="shared" si="42"/>
        <v/>
      </c>
      <c r="CB126" s="146" t="str">
        <f t="shared" si="43"/>
        <v/>
      </c>
      <c r="CC126" s="146" t="str">
        <f>_xlfn.IFNA(IF(INDEX(Producer!$P:$P,MATCH($D126,Producer!$A:$A,0))="Help to Buy","Only available","No"),"")</f>
        <v/>
      </c>
      <c r="CD126" s="146" t="str">
        <f>_xlfn.IFNA(IF(INDEX(Producer!$P:$P,MATCH($D126,Producer!$A:$A,0))="Shared Ownership","Only available","No"),"")</f>
        <v/>
      </c>
      <c r="CE126" s="146" t="str">
        <f>_xlfn.IFNA(IF(INDEX(Producer!$P:$P,MATCH($D126,Producer!$A:$A,0))="Right to Buy","Only available","No"),"")</f>
        <v/>
      </c>
      <c r="CF126" s="146" t="str">
        <f t="shared" si="44"/>
        <v/>
      </c>
      <c r="CG126" s="146" t="str">
        <f>_xlfn.IFNA(IF(INDEX(Producer!$P:$P,MATCH($D126,Producer!$A:$A,0))="Retirement Interest Only","Only available","No"),"")</f>
        <v/>
      </c>
      <c r="CH126" s="146" t="str">
        <f t="shared" si="45"/>
        <v/>
      </c>
      <c r="CI126" s="146" t="str">
        <f>_xlfn.IFNA(IF(INDEX(Producer!$P:$P,MATCH($D126,Producer!$A:$A,0))="Intermediary Holiday Let","Only available","No"),"")</f>
        <v/>
      </c>
      <c r="CJ126" s="146" t="str">
        <f t="shared" si="46"/>
        <v/>
      </c>
      <c r="CK126" s="146" t="str">
        <f>_xlfn.IFNA(IF(OR(INDEX(Producer!$P:$P,MATCH($D126,Producer!$A:$A,0))="Intermediary Small HMO",INDEX(Producer!$P:$P,MATCH($D126,Producer!$A:$A,0))="Intermediary Large HMO"),"Only available","No"),"")</f>
        <v/>
      </c>
      <c r="CL126" s="146" t="str">
        <f t="shared" si="47"/>
        <v/>
      </c>
      <c r="CM126" s="146" t="str">
        <f t="shared" si="48"/>
        <v/>
      </c>
      <c r="CN126" s="146" t="str">
        <f t="shared" si="49"/>
        <v/>
      </c>
      <c r="CO126" s="146" t="str">
        <f t="shared" si="50"/>
        <v/>
      </c>
      <c r="CP126" s="146" t="str">
        <f t="shared" si="51"/>
        <v/>
      </c>
      <c r="CQ126" s="146" t="str">
        <f t="shared" si="52"/>
        <v/>
      </c>
      <c r="CR126" s="146" t="str">
        <f t="shared" si="53"/>
        <v/>
      </c>
      <c r="CS126" s="146" t="str">
        <f t="shared" si="54"/>
        <v/>
      </c>
      <c r="CT126" s="146" t="str">
        <f t="shared" si="55"/>
        <v/>
      </c>
      <c r="CU126" s="146"/>
    </row>
    <row r="127" spans="1:99" ht="16.399999999999999" customHeight="1" x14ac:dyDescent="0.35">
      <c r="A127" s="145" t="str">
        <f t="shared" si="28"/>
        <v/>
      </c>
      <c r="B127" s="145" t="str">
        <f>_xlfn.IFNA(_xlfn.CONCAT(INDEX(Producer!$P:$P,MATCH($D127,Producer!$A:$A,0))," ",IF(INDEX(Producer!$N:$N,MATCH($D127,Producer!$A:$A,0))="Yes","Green ",""),IF(AND(INDEX(Producer!$L:$L,MATCH($D127,Producer!$A:$A,0))="No",INDEX(Producer!$C:$C,MATCH($D127,Producer!$A:$A,0))="Fixed"),"Flexit ",""),INDEX(Producer!$B:$B,MATCH($D127,Producer!$A:$A,0))," Year ",INDEX(Producer!$C:$C,MATCH($D127,Producer!$A:$A,0))," ",VALUE(INDEX(Producer!$E:$E,MATCH($D127,Producer!$A:$A,0)))*100,"% LTV",IF(INDEX(Producer!$N:$N,MATCH($D127,Producer!$A:$A,0))="Yes"," (EPC A-C)","")," - ",IF(INDEX(Producer!$D:$D,MATCH($D127,Producer!$A:$A,0))="DLY","Daily","Annual")),"")</f>
        <v/>
      </c>
      <c r="C127" s="146" t="str">
        <f>_xlfn.IFNA(INDEX(Producer!$Q:$Q,MATCH($D127,Producer!$A:$A,0)),"")</f>
        <v/>
      </c>
      <c r="D127" s="146" t="str">
        <f>IFERROR(VALUE(MID(Producer!$R$2,IF($D126="",1/0,FIND(_xlfn.CONCAT($D125,$D126),Producer!$R$2)+10),5)),"")</f>
        <v/>
      </c>
      <c r="E127" s="146" t="str">
        <f t="shared" si="29"/>
        <v/>
      </c>
      <c r="F127" s="146"/>
      <c r="G127" s="147" t="str">
        <f>_xlfn.IFNA(VALUE(INDEX(Producer!$F:$F,MATCH($D127,Producer!$A:$A,0)))*100,"")</f>
        <v/>
      </c>
      <c r="H127" s="216" t="str">
        <f>_xlfn.IFNA(IFERROR(DATEVALUE(INDEX(Producer!$M:$M,MATCH($D127,Producer!$A:$A,0))),(INDEX(Producer!$M:$M,MATCH($D127,Producer!$A:$A,0)))),"")</f>
        <v/>
      </c>
      <c r="I127" s="217" t="str">
        <f>_xlfn.IFNA(VALUE(INDEX(Producer!$B:$B,MATCH($D127,Producer!$A:$A,0)))*12,"")</f>
        <v/>
      </c>
      <c r="J127" s="146" t="str">
        <f>_xlfn.IFNA(IF(C127="Residential",IF(VALUE(INDEX(Producer!$B:$B,MATCH($D127,Producer!$A:$A,0)))&lt;5,Constants!$C$10,""),IF(VALUE(INDEX(Producer!$B:$B,MATCH($D127,Producer!$A:$A,0)))&lt;5,Constants!$C$11,"")),"")</f>
        <v/>
      </c>
      <c r="K127" s="216" t="str">
        <f>_xlfn.IFNA(IF(($I127)&lt;60,DATE(YEAR(H127)+(5-VALUE(INDEX(Producer!$B:$B,MATCH($D127,Producer!$A:$A,0)))),MONTH(H127),DAY(H127)),""),"")</f>
        <v/>
      </c>
      <c r="L127" s="153" t="str">
        <f t="shared" si="30"/>
        <v/>
      </c>
      <c r="M127" s="146"/>
      <c r="N127" s="148"/>
      <c r="O127" s="148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46" t="str">
        <f>IF(D127="","",IF(C127="Residential",Constants!$B$10,Constants!$B$11))</f>
        <v/>
      </c>
      <c r="AL127" s="146" t="str">
        <f t="shared" si="31"/>
        <v/>
      </c>
      <c r="AM127" s="206" t="str">
        <f t="shared" si="32"/>
        <v/>
      </c>
      <c r="AN127" s="146" t="str">
        <f t="shared" si="33"/>
        <v/>
      </c>
      <c r="AO127" s="149" t="str">
        <f t="shared" si="34"/>
        <v/>
      </c>
      <c r="AP127" s="150" t="str">
        <f t="shared" si="35"/>
        <v/>
      </c>
      <c r="AQ127" s="146" t="str">
        <f>IFERROR(_xlfn.IFNA(IF($BA127="No",0,IF(INDEX(Constants!B:B,MATCH(($I127/12),Constants!$A:$A,0))=0,0,INDEX(Constants!B:B,MATCH(($I127/12),Constants!$A:$A,0)))),0),"")</f>
        <v/>
      </c>
      <c r="AR127" s="146" t="str">
        <f>IFERROR(_xlfn.IFNA(IF($BA127="No",0,IF(INDEX(Constants!C:C,MATCH(($I127/12),Constants!$A:$A,0))=0,0,INDEX(Constants!C:C,MATCH(($I127/12),Constants!$A:$A,0)))),0),"")</f>
        <v/>
      </c>
      <c r="AS127" s="146" t="str">
        <f>IFERROR(_xlfn.IFNA(IF($BA127="No",0,IF(INDEX(Constants!D:D,MATCH(($I127/12),Constants!$A:$A,0))=0,0,INDEX(Constants!D:D,MATCH(($I127/12),Constants!$A:$A,0)))),0),"")</f>
        <v/>
      </c>
      <c r="AT127" s="146" t="str">
        <f>IFERROR(_xlfn.IFNA(IF($BA127="No",0,IF(INDEX(Constants!E:E,MATCH(($I127/12),Constants!$A:$A,0))=0,0,INDEX(Constants!E:E,MATCH(($I127/12),Constants!$A:$A,0)))),0),"")</f>
        <v/>
      </c>
      <c r="AU127" s="146" t="str">
        <f>IFERROR(_xlfn.IFNA(IF($BA127="No",0,IF(INDEX(Constants!F:F,MATCH(($I127/12),Constants!$A:$A,0))=0,0,INDEX(Constants!F:F,MATCH(($I127/12),Constants!$A:$A,0)))),0),"")</f>
        <v/>
      </c>
      <c r="AV127" s="146" t="str">
        <f>IFERROR(_xlfn.IFNA(IF($BA127="No",0,IF(INDEX(Constants!G:G,MATCH(($I127/12),Constants!$A:$A,0))=0,0,INDEX(Constants!G:G,MATCH(($I127/12),Constants!$A:$A,0)))),0),"")</f>
        <v/>
      </c>
      <c r="AW127" s="146" t="str">
        <f>IFERROR(_xlfn.IFNA(IF($BA127="No",0,IF(INDEX(Constants!H:H,MATCH(($I127/12),Constants!$A:$A,0))=0,0,INDEX(Constants!H:H,MATCH(($I127/12),Constants!$A:$A,0)))),0),"")</f>
        <v/>
      </c>
      <c r="AX127" s="146" t="str">
        <f>IFERROR(_xlfn.IFNA(IF($BA127="No",0,IF(INDEX(Constants!I:I,MATCH(($I127/12),Constants!$A:$A,0))=0,0,INDEX(Constants!I:I,MATCH(($I127/12),Constants!$A:$A,0)))),0),"")</f>
        <v/>
      </c>
      <c r="AY127" s="146" t="str">
        <f>IFERROR(_xlfn.IFNA(IF($BA127="No",0,IF(INDEX(Constants!J:J,MATCH(($I127/12),Constants!$A:$A,0))=0,0,INDEX(Constants!J:J,MATCH(($I127/12),Constants!$A:$A,0)))),0),"")</f>
        <v/>
      </c>
      <c r="AZ127" s="146" t="str">
        <f>IFERROR(_xlfn.IFNA(IF($BA127="No",0,IF(INDEX(Constants!K:K,MATCH(($I127/12),Constants!$A:$A,0))=0,0,INDEX(Constants!K:K,MATCH(($I127/12),Constants!$A:$A,0)))),0),"")</f>
        <v/>
      </c>
      <c r="BA127" s="147" t="str">
        <f>_xlfn.IFNA(INDEX(Producer!$L:$L,MATCH($D127,Producer!$A:$A,0)),"")</f>
        <v/>
      </c>
      <c r="BB127" s="146" t="str">
        <f>IFERROR(IF(AQ127=0,"",IF(($I127/12)=15,_xlfn.CONCAT(Constants!$N$7,TEXT(DATE(YEAR(H127)-(($I127/12)-3),MONTH(H127),DAY(H127)),"dd/mm/yyyy"),", ",Constants!$P$7,TEXT(DATE(YEAR(H127)-(($I127/12)-8),MONTH(H127),DAY(H127)),"dd/mm/yyyy"),", ",Constants!$T$7,TEXT(DATE(YEAR(H127)-(($I127/12)-11),MONTH(H127),DAY(H127)),"dd/mm/yyyy"),", ",Constants!$V$7,TEXT(DATE(YEAR(H127)-(($I127/12)-13),MONTH(H127),DAY(H127)),"dd/mm/yyyy"),", ",Constants!$W$7,TEXT($H127,"dd/mm/yyyy")),IF(($I127/12)=10,_xlfn.CONCAT(Constants!$N$6,TEXT(DATE(YEAR(H127)-(($I127/12)-2),MONTH(H127),DAY(H127)),"dd/mm/yyyy"),", ",Constants!$P$6,TEXT(DATE(YEAR(H127)-(($I127/12)-6),MONTH(H127),DAY(H127)),"dd/mm/yyyy"),", ",Constants!$T$6,TEXT(DATE(YEAR(H127)-(($I127/12)-8),MONTH(H127),DAY(H127)),"dd/mm/yyyy"),", ",Constants!$V$6,TEXT(DATE(YEAR(H127)-(($I127/12)-9),MONTH(H127),DAY(H127)),"dd/mm/yyyy"),", ",Constants!$W$6,TEXT($H127,"dd/mm/yyyy")),IF(($I127/12)=5,_xlfn.CONCAT(Constants!$N$5,TEXT(DATE(YEAR(H127)-(($I127/12)-1),MONTH(H127),DAY(H127)),"dd/mm/yyyy"),", ",Constants!$O$5,TEXT(DATE(YEAR(H127)-(($I127/12)-2),MONTH(H127),DAY(H127)),"dd/mm/yyyy"),", ",Constants!$P$5,TEXT(DATE(YEAR(H127)-(($I127/12)-3),MONTH(H127),DAY(H127)),"dd/mm/yyyy"),", ",Constants!$Q$5,TEXT(DATE(YEAR(H127)-(($I127/12)-4),MONTH(H127),DAY(H127)),"dd/mm/yyyy"),", ",Constants!$R$5,TEXT($H127,"dd/mm/yyyy")),IF(($I127/12)=3,_xlfn.CONCAT(Constants!$N$4,TEXT(DATE(YEAR(H127)-(($I127/12)-1),MONTH(H127),DAY(H127)),"dd/mm/yyyy"),", ",Constants!$O$4,TEXT(DATE(YEAR(H127)-(($I127/12)-2),MONTH(H127),DAY(H127)),"dd/mm/yyyy"),", ",Constants!$P$4,TEXT($H127,"dd/mm/yyyy")),IF(($I127/12)=2,_xlfn.CONCAT(Constants!$N$3,TEXT(DATE(YEAR(H127)-(($I127/12)-1),MONTH(H127),DAY(H127)),"dd/mm/yyyy"),", ",Constants!$O$3,TEXT($H127,"dd/mm/yyyy")),IF(($I127/12)=1,_xlfn.CONCAT(Constants!$N$2,TEXT($H127,"dd/mm/yyyy")),"Update Constants"))))))),"")</f>
        <v/>
      </c>
      <c r="BC127" s="147" t="str">
        <f>_xlfn.IFNA(VALUE(INDEX(Producer!$K:$K,MATCH($D127,Producer!$A:$A,0))),"")</f>
        <v/>
      </c>
      <c r="BD127" s="147" t="str">
        <f>_xlfn.IFNA(INDEX(Producer!$I:$I,MATCH($D127,Producer!$A:$A,0)),"")</f>
        <v/>
      </c>
      <c r="BE127" s="147" t="str">
        <f t="shared" si="36"/>
        <v/>
      </c>
      <c r="BF127" s="147"/>
      <c r="BG127" s="147"/>
      <c r="BH127" s="151" t="str">
        <f>_xlfn.IFNA(INDEX(Constants!$B:$B,MATCH(BC127,Constants!A:A,0)),"")</f>
        <v/>
      </c>
      <c r="BI127" s="147" t="str">
        <f>IF(LEFT(B127,15)="Limited Company",Constants!$D$16,IFERROR(_xlfn.IFNA(IF(C127="Residential",IF(BK127&lt;75,INDEX(Constants!$B:$B,MATCH(VALUE(60)/100,Constants!$A:$A,0)),INDEX(Constants!$B:$B,MATCH(VALUE(BK127)/100,Constants!$A:$A,0))),IF(BK127&lt;60,INDEX(Constants!$C:$C,MATCH(VALUE(60)/100,Constants!$A:$A,0)),INDEX(Constants!$C:$C,MATCH(VALUE(BK127)/100,Constants!$A:$A,0)))),""),""))</f>
        <v/>
      </c>
      <c r="BJ127" s="147" t="str">
        <f t="shared" si="37"/>
        <v/>
      </c>
      <c r="BK127" s="147" t="str">
        <f>_xlfn.IFNA(VALUE(INDEX(Producer!$E:$E,MATCH($D127,Producer!$A:$A,0)))*100,"")</f>
        <v/>
      </c>
      <c r="BL127" s="146" t="str">
        <f>_xlfn.IFNA(IF(IFERROR(FIND("Part &amp; Part",B127),-10)&gt;0,"PP",IF(OR(LEFT(B127,25)="Residential Interest Only",INDEX(Producer!$P:$P,MATCH($D127,Producer!$A:$A,0))="IO",INDEX(Producer!$P:$P,MATCH($D127,Producer!$A:$A,0))="Retirement Interest Only"),"IO",IF($C127="BuyToLet","CI, IO","CI"))),"")</f>
        <v/>
      </c>
      <c r="BM127" s="152" t="str">
        <f>_xlfn.IFNA(IF(BL127="IO",100%,IF(AND(INDEX(Producer!$P:$P,MATCH($D127,Producer!$A:$A,0))="Residential Interest Only Part &amp; Part",BK127=75),80%,IF(C127="BuyToLet",100%,IF(BL127="Interest Only",100%,IF(AND(INDEX(Producer!$P:$P,MATCH($D127,Producer!$A:$A,0))="Residential Interest Only Part &amp; Part",BK127=60),100%,""))))),"")</f>
        <v/>
      </c>
      <c r="BN127" s="218" t="str">
        <f>_xlfn.IFNA(IF(VALUE(INDEX(Producer!$H:$H,MATCH($D127,Producer!$A:$A,0)))=0,"",VALUE(INDEX(Producer!$H:$H,MATCH($D127,Producer!$A:$A,0)))),"")</f>
        <v/>
      </c>
      <c r="BO127" s="153"/>
      <c r="BP127" s="153"/>
      <c r="BQ127" s="219" t="str">
        <f t="shared" si="38"/>
        <v/>
      </c>
      <c r="BR127" s="146"/>
      <c r="BS127" s="146"/>
      <c r="BT127" s="146"/>
      <c r="BU127" s="146"/>
      <c r="BV127" s="219" t="str">
        <f t="shared" si="39"/>
        <v/>
      </c>
      <c r="BW127" s="146"/>
      <c r="BX127" s="146"/>
      <c r="BY127" s="146" t="str">
        <f t="shared" si="40"/>
        <v/>
      </c>
      <c r="BZ127" s="146" t="str">
        <f t="shared" si="41"/>
        <v/>
      </c>
      <c r="CA127" s="146" t="str">
        <f t="shared" si="42"/>
        <v/>
      </c>
      <c r="CB127" s="146" t="str">
        <f t="shared" si="43"/>
        <v/>
      </c>
      <c r="CC127" s="146" t="str">
        <f>_xlfn.IFNA(IF(INDEX(Producer!$P:$P,MATCH($D127,Producer!$A:$A,0))="Help to Buy","Only available","No"),"")</f>
        <v/>
      </c>
      <c r="CD127" s="146" t="str">
        <f>_xlfn.IFNA(IF(INDEX(Producer!$P:$P,MATCH($D127,Producer!$A:$A,0))="Shared Ownership","Only available","No"),"")</f>
        <v/>
      </c>
      <c r="CE127" s="146" t="str">
        <f>_xlfn.IFNA(IF(INDEX(Producer!$P:$P,MATCH($D127,Producer!$A:$A,0))="Right to Buy","Only available","No"),"")</f>
        <v/>
      </c>
      <c r="CF127" s="146" t="str">
        <f t="shared" si="44"/>
        <v/>
      </c>
      <c r="CG127" s="146" t="str">
        <f>_xlfn.IFNA(IF(INDEX(Producer!$P:$P,MATCH($D127,Producer!$A:$A,0))="Retirement Interest Only","Only available","No"),"")</f>
        <v/>
      </c>
      <c r="CH127" s="146" t="str">
        <f t="shared" si="45"/>
        <v/>
      </c>
      <c r="CI127" s="146" t="str">
        <f>_xlfn.IFNA(IF(INDEX(Producer!$P:$P,MATCH($D127,Producer!$A:$A,0))="Intermediary Holiday Let","Only available","No"),"")</f>
        <v/>
      </c>
      <c r="CJ127" s="146" t="str">
        <f t="shared" si="46"/>
        <v/>
      </c>
      <c r="CK127" s="146" t="str">
        <f>_xlfn.IFNA(IF(OR(INDEX(Producer!$P:$P,MATCH($D127,Producer!$A:$A,0))="Intermediary Small HMO",INDEX(Producer!$P:$P,MATCH($D127,Producer!$A:$A,0))="Intermediary Large HMO"),"Only available","No"),"")</f>
        <v/>
      </c>
      <c r="CL127" s="146" t="str">
        <f t="shared" si="47"/>
        <v/>
      </c>
      <c r="CM127" s="146" t="str">
        <f t="shared" si="48"/>
        <v/>
      </c>
      <c r="CN127" s="146" t="str">
        <f t="shared" si="49"/>
        <v/>
      </c>
      <c r="CO127" s="146" t="str">
        <f t="shared" si="50"/>
        <v/>
      </c>
      <c r="CP127" s="146" t="str">
        <f t="shared" si="51"/>
        <v/>
      </c>
      <c r="CQ127" s="146" t="str">
        <f t="shared" si="52"/>
        <v/>
      </c>
      <c r="CR127" s="146" t="str">
        <f t="shared" si="53"/>
        <v/>
      </c>
      <c r="CS127" s="146" t="str">
        <f t="shared" si="54"/>
        <v/>
      </c>
      <c r="CT127" s="146" t="str">
        <f t="shared" si="55"/>
        <v/>
      </c>
      <c r="CU127" s="146"/>
    </row>
    <row r="128" spans="1:99" ht="16.399999999999999" customHeight="1" x14ac:dyDescent="0.35">
      <c r="A128" s="145" t="str">
        <f t="shared" si="28"/>
        <v/>
      </c>
      <c r="B128" s="145" t="str">
        <f>_xlfn.IFNA(_xlfn.CONCAT(INDEX(Producer!$P:$P,MATCH($D128,Producer!$A:$A,0))," ",IF(INDEX(Producer!$N:$N,MATCH($D128,Producer!$A:$A,0))="Yes","Green ",""),IF(AND(INDEX(Producer!$L:$L,MATCH($D128,Producer!$A:$A,0))="No",INDEX(Producer!$C:$C,MATCH($D128,Producer!$A:$A,0))="Fixed"),"Flexit ",""),INDEX(Producer!$B:$B,MATCH($D128,Producer!$A:$A,0))," Year ",INDEX(Producer!$C:$C,MATCH($D128,Producer!$A:$A,0))," ",VALUE(INDEX(Producer!$E:$E,MATCH($D128,Producer!$A:$A,0)))*100,"% LTV",IF(INDEX(Producer!$N:$N,MATCH($D128,Producer!$A:$A,0))="Yes"," (EPC A-C)","")," - ",IF(INDEX(Producer!$D:$D,MATCH($D128,Producer!$A:$A,0))="DLY","Daily","Annual")),"")</f>
        <v/>
      </c>
      <c r="C128" s="146" t="str">
        <f>_xlfn.IFNA(INDEX(Producer!$Q:$Q,MATCH($D128,Producer!$A:$A,0)),"")</f>
        <v/>
      </c>
      <c r="D128" s="146" t="str">
        <f>IFERROR(VALUE(MID(Producer!$R$2,IF($D127="",1/0,FIND(_xlfn.CONCAT($D126,$D127),Producer!$R$2)+10),5)),"")</f>
        <v/>
      </c>
      <c r="E128" s="146" t="str">
        <f t="shared" si="29"/>
        <v/>
      </c>
      <c r="F128" s="146"/>
      <c r="G128" s="147" t="str">
        <f>_xlfn.IFNA(VALUE(INDEX(Producer!$F:$F,MATCH($D128,Producer!$A:$A,0)))*100,"")</f>
        <v/>
      </c>
      <c r="H128" s="216" t="str">
        <f>_xlfn.IFNA(IFERROR(DATEVALUE(INDEX(Producer!$M:$M,MATCH($D128,Producer!$A:$A,0))),(INDEX(Producer!$M:$M,MATCH($D128,Producer!$A:$A,0)))),"")</f>
        <v/>
      </c>
      <c r="I128" s="217" t="str">
        <f>_xlfn.IFNA(VALUE(INDEX(Producer!$B:$B,MATCH($D128,Producer!$A:$A,0)))*12,"")</f>
        <v/>
      </c>
      <c r="J128" s="146" t="str">
        <f>_xlfn.IFNA(IF(C128="Residential",IF(VALUE(INDEX(Producer!$B:$B,MATCH($D128,Producer!$A:$A,0)))&lt;5,Constants!$C$10,""),IF(VALUE(INDEX(Producer!$B:$B,MATCH($D128,Producer!$A:$A,0)))&lt;5,Constants!$C$11,"")),"")</f>
        <v/>
      </c>
      <c r="K128" s="216" t="str">
        <f>_xlfn.IFNA(IF(($I128)&lt;60,DATE(YEAR(H128)+(5-VALUE(INDEX(Producer!$B:$B,MATCH($D128,Producer!$A:$A,0)))),MONTH(H128),DAY(H128)),""),"")</f>
        <v/>
      </c>
      <c r="L128" s="153" t="str">
        <f t="shared" si="30"/>
        <v/>
      </c>
      <c r="M128" s="146"/>
      <c r="N128" s="148"/>
      <c r="O128" s="148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 t="str">
        <f>IF(D128="","",IF(C128="Residential",Constants!$B$10,Constants!$B$11))</f>
        <v/>
      </c>
      <c r="AL128" s="146" t="str">
        <f t="shared" si="31"/>
        <v/>
      </c>
      <c r="AM128" s="206" t="str">
        <f t="shared" si="32"/>
        <v/>
      </c>
      <c r="AN128" s="146" t="str">
        <f t="shared" si="33"/>
        <v/>
      </c>
      <c r="AO128" s="149" t="str">
        <f t="shared" si="34"/>
        <v/>
      </c>
      <c r="AP128" s="150" t="str">
        <f t="shared" si="35"/>
        <v/>
      </c>
      <c r="AQ128" s="146" t="str">
        <f>IFERROR(_xlfn.IFNA(IF($BA128="No",0,IF(INDEX(Constants!B:B,MATCH(($I128/12),Constants!$A:$A,0))=0,0,INDEX(Constants!B:B,MATCH(($I128/12),Constants!$A:$A,0)))),0),"")</f>
        <v/>
      </c>
      <c r="AR128" s="146" t="str">
        <f>IFERROR(_xlfn.IFNA(IF($BA128="No",0,IF(INDEX(Constants!C:C,MATCH(($I128/12),Constants!$A:$A,0))=0,0,INDEX(Constants!C:C,MATCH(($I128/12),Constants!$A:$A,0)))),0),"")</f>
        <v/>
      </c>
      <c r="AS128" s="146" t="str">
        <f>IFERROR(_xlfn.IFNA(IF($BA128="No",0,IF(INDEX(Constants!D:D,MATCH(($I128/12),Constants!$A:$A,0))=0,0,INDEX(Constants!D:D,MATCH(($I128/12),Constants!$A:$A,0)))),0),"")</f>
        <v/>
      </c>
      <c r="AT128" s="146" t="str">
        <f>IFERROR(_xlfn.IFNA(IF($BA128="No",0,IF(INDEX(Constants!E:E,MATCH(($I128/12),Constants!$A:$A,0))=0,0,INDEX(Constants!E:E,MATCH(($I128/12),Constants!$A:$A,0)))),0),"")</f>
        <v/>
      </c>
      <c r="AU128" s="146" t="str">
        <f>IFERROR(_xlfn.IFNA(IF($BA128="No",0,IF(INDEX(Constants!F:F,MATCH(($I128/12),Constants!$A:$A,0))=0,0,INDEX(Constants!F:F,MATCH(($I128/12),Constants!$A:$A,0)))),0),"")</f>
        <v/>
      </c>
      <c r="AV128" s="146" t="str">
        <f>IFERROR(_xlfn.IFNA(IF($BA128="No",0,IF(INDEX(Constants!G:G,MATCH(($I128/12),Constants!$A:$A,0))=0,0,INDEX(Constants!G:G,MATCH(($I128/12),Constants!$A:$A,0)))),0),"")</f>
        <v/>
      </c>
      <c r="AW128" s="146" t="str">
        <f>IFERROR(_xlfn.IFNA(IF($BA128="No",0,IF(INDEX(Constants!H:H,MATCH(($I128/12),Constants!$A:$A,0))=0,0,INDEX(Constants!H:H,MATCH(($I128/12),Constants!$A:$A,0)))),0),"")</f>
        <v/>
      </c>
      <c r="AX128" s="146" t="str">
        <f>IFERROR(_xlfn.IFNA(IF($BA128="No",0,IF(INDEX(Constants!I:I,MATCH(($I128/12),Constants!$A:$A,0))=0,0,INDEX(Constants!I:I,MATCH(($I128/12),Constants!$A:$A,0)))),0),"")</f>
        <v/>
      </c>
      <c r="AY128" s="146" t="str">
        <f>IFERROR(_xlfn.IFNA(IF($BA128="No",0,IF(INDEX(Constants!J:J,MATCH(($I128/12),Constants!$A:$A,0))=0,0,INDEX(Constants!J:J,MATCH(($I128/12),Constants!$A:$A,0)))),0),"")</f>
        <v/>
      </c>
      <c r="AZ128" s="146" t="str">
        <f>IFERROR(_xlfn.IFNA(IF($BA128="No",0,IF(INDEX(Constants!K:K,MATCH(($I128/12),Constants!$A:$A,0))=0,0,INDEX(Constants!K:K,MATCH(($I128/12),Constants!$A:$A,0)))),0),"")</f>
        <v/>
      </c>
      <c r="BA128" s="147" t="str">
        <f>_xlfn.IFNA(INDEX(Producer!$L:$L,MATCH($D128,Producer!$A:$A,0)),"")</f>
        <v/>
      </c>
      <c r="BB128" s="146" t="str">
        <f>IFERROR(IF(AQ128=0,"",IF(($I128/12)=15,_xlfn.CONCAT(Constants!$N$7,TEXT(DATE(YEAR(H128)-(($I128/12)-3),MONTH(H128),DAY(H128)),"dd/mm/yyyy"),", ",Constants!$P$7,TEXT(DATE(YEAR(H128)-(($I128/12)-8),MONTH(H128),DAY(H128)),"dd/mm/yyyy"),", ",Constants!$T$7,TEXT(DATE(YEAR(H128)-(($I128/12)-11),MONTH(H128),DAY(H128)),"dd/mm/yyyy"),", ",Constants!$V$7,TEXT(DATE(YEAR(H128)-(($I128/12)-13),MONTH(H128),DAY(H128)),"dd/mm/yyyy"),", ",Constants!$W$7,TEXT($H128,"dd/mm/yyyy")),IF(($I128/12)=10,_xlfn.CONCAT(Constants!$N$6,TEXT(DATE(YEAR(H128)-(($I128/12)-2),MONTH(H128),DAY(H128)),"dd/mm/yyyy"),", ",Constants!$P$6,TEXT(DATE(YEAR(H128)-(($I128/12)-6),MONTH(H128),DAY(H128)),"dd/mm/yyyy"),", ",Constants!$T$6,TEXT(DATE(YEAR(H128)-(($I128/12)-8),MONTH(H128),DAY(H128)),"dd/mm/yyyy"),", ",Constants!$V$6,TEXT(DATE(YEAR(H128)-(($I128/12)-9),MONTH(H128),DAY(H128)),"dd/mm/yyyy"),", ",Constants!$W$6,TEXT($H128,"dd/mm/yyyy")),IF(($I128/12)=5,_xlfn.CONCAT(Constants!$N$5,TEXT(DATE(YEAR(H128)-(($I128/12)-1),MONTH(H128),DAY(H128)),"dd/mm/yyyy"),", ",Constants!$O$5,TEXT(DATE(YEAR(H128)-(($I128/12)-2),MONTH(H128),DAY(H128)),"dd/mm/yyyy"),", ",Constants!$P$5,TEXT(DATE(YEAR(H128)-(($I128/12)-3),MONTH(H128),DAY(H128)),"dd/mm/yyyy"),", ",Constants!$Q$5,TEXT(DATE(YEAR(H128)-(($I128/12)-4),MONTH(H128),DAY(H128)),"dd/mm/yyyy"),", ",Constants!$R$5,TEXT($H128,"dd/mm/yyyy")),IF(($I128/12)=3,_xlfn.CONCAT(Constants!$N$4,TEXT(DATE(YEAR(H128)-(($I128/12)-1),MONTH(H128),DAY(H128)),"dd/mm/yyyy"),", ",Constants!$O$4,TEXT(DATE(YEAR(H128)-(($I128/12)-2),MONTH(H128),DAY(H128)),"dd/mm/yyyy"),", ",Constants!$P$4,TEXT($H128,"dd/mm/yyyy")),IF(($I128/12)=2,_xlfn.CONCAT(Constants!$N$3,TEXT(DATE(YEAR(H128)-(($I128/12)-1),MONTH(H128),DAY(H128)),"dd/mm/yyyy"),", ",Constants!$O$3,TEXT($H128,"dd/mm/yyyy")),IF(($I128/12)=1,_xlfn.CONCAT(Constants!$N$2,TEXT($H128,"dd/mm/yyyy")),"Update Constants"))))))),"")</f>
        <v/>
      </c>
      <c r="BC128" s="147" t="str">
        <f>_xlfn.IFNA(VALUE(INDEX(Producer!$K:$K,MATCH($D128,Producer!$A:$A,0))),"")</f>
        <v/>
      </c>
      <c r="BD128" s="147" t="str">
        <f>_xlfn.IFNA(INDEX(Producer!$I:$I,MATCH($D128,Producer!$A:$A,0)),"")</f>
        <v/>
      </c>
      <c r="BE128" s="147" t="str">
        <f t="shared" si="36"/>
        <v/>
      </c>
      <c r="BF128" s="147"/>
      <c r="BG128" s="147"/>
      <c r="BH128" s="151" t="str">
        <f>_xlfn.IFNA(INDEX(Constants!$B:$B,MATCH(BC128,Constants!A:A,0)),"")</f>
        <v/>
      </c>
      <c r="BI128" s="147" t="str">
        <f>IF(LEFT(B128,15)="Limited Company",Constants!$D$16,IFERROR(_xlfn.IFNA(IF(C128="Residential",IF(BK128&lt;75,INDEX(Constants!$B:$B,MATCH(VALUE(60)/100,Constants!$A:$A,0)),INDEX(Constants!$B:$B,MATCH(VALUE(BK128)/100,Constants!$A:$A,0))),IF(BK128&lt;60,INDEX(Constants!$C:$C,MATCH(VALUE(60)/100,Constants!$A:$A,0)),INDEX(Constants!$C:$C,MATCH(VALUE(BK128)/100,Constants!$A:$A,0)))),""),""))</f>
        <v/>
      </c>
      <c r="BJ128" s="147" t="str">
        <f t="shared" si="37"/>
        <v/>
      </c>
      <c r="BK128" s="147" t="str">
        <f>_xlfn.IFNA(VALUE(INDEX(Producer!$E:$E,MATCH($D128,Producer!$A:$A,0)))*100,"")</f>
        <v/>
      </c>
      <c r="BL128" s="146" t="str">
        <f>_xlfn.IFNA(IF(IFERROR(FIND("Part &amp; Part",B128),-10)&gt;0,"PP",IF(OR(LEFT(B128,25)="Residential Interest Only",INDEX(Producer!$P:$P,MATCH($D128,Producer!$A:$A,0))="IO",INDEX(Producer!$P:$P,MATCH($D128,Producer!$A:$A,0))="Retirement Interest Only"),"IO",IF($C128="BuyToLet","CI, IO","CI"))),"")</f>
        <v/>
      </c>
      <c r="BM128" s="152" t="str">
        <f>_xlfn.IFNA(IF(BL128="IO",100%,IF(AND(INDEX(Producer!$P:$P,MATCH($D128,Producer!$A:$A,0))="Residential Interest Only Part &amp; Part",BK128=75),80%,IF(C128="BuyToLet",100%,IF(BL128="Interest Only",100%,IF(AND(INDEX(Producer!$P:$P,MATCH($D128,Producer!$A:$A,0))="Residential Interest Only Part &amp; Part",BK128=60),100%,""))))),"")</f>
        <v/>
      </c>
      <c r="BN128" s="218" t="str">
        <f>_xlfn.IFNA(IF(VALUE(INDEX(Producer!$H:$H,MATCH($D128,Producer!$A:$A,0)))=0,"",VALUE(INDEX(Producer!$H:$H,MATCH($D128,Producer!$A:$A,0)))),"")</f>
        <v/>
      </c>
      <c r="BO128" s="153"/>
      <c r="BP128" s="153"/>
      <c r="BQ128" s="219" t="str">
        <f t="shared" si="38"/>
        <v/>
      </c>
      <c r="BR128" s="146"/>
      <c r="BS128" s="146"/>
      <c r="BT128" s="146"/>
      <c r="BU128" s="146"/>
      <c r="BV128" s="219" t="str">
        <f t="shared" si="39"/>
        <v/>
      </c>
      <c r="BW128" s="146"/>
      <c r="BX128" s="146"/>
      <c r="BY128" s="146" t="str">
        <f t="shared" si="40"/>
        <v/>
      </c>
      <c r="BZ128" s="146" t="str">
        <f t="shared" si="41"/>
        <v/>
      </c>
      <c r="CA128" s="146" t="str">
        <f t="shared" si="42"/>
        <v/>
      </c>
      <c r="CB128" s="146" t="str">
        <f t="shared" si="43"/>
        <v/>
      </c>
      <c r="CC128" s="146" t="str">
        <f>_xlfn.IFNA(IF(INDEX(Producer!$P:$P,MATCH($D128,Producer!$A:$A,0))="Help to Buy","Only available","No"),"")</f>
        <v/>
      </c>
      <c r="CD128" s="146" t="str">
        <f>_xlfn.IFNA(IF(INDEX(Producer!$P:$P,MATCH($D128,Producer!$A:$A,0))="Shared Ownership","Only available","No"),"")</f>
        <v/>
      </c>
      <c r="CE128" s="146" t="str">
        <f>_xlfn.IFNA(IF(INDEX(Producer!$P:$P,MATCH($D128,Producer!$A:$A,0))="Right to Buy","Only available","No"),"")</f>
        <v/>
      </c>
      <c r="CF128" s="146" t="str">
        <f t="shared" si="44"/>
        <v/>
      </c>
      <c r="CG128" s="146" t="str">
        <f>_xlfn.IFNA(IF(INDEX(Producer!$P:$P,MATCH($D128,Producer!$A:$A,0))="Retirement Interest Only","Only available","No"),"")</f>
        <v/>
      </c>
      <c r="CH128" s="146" t="str">
        <f t="shared" si="45"/>
        <v/>
      </c>
      <c r="CI128" s="146" t="str">
        <f>_xlfn.IFNA(IF(INDEX(Producer!$P:$P,MATCH($D128,Producer!$A:$A,0))="Intermediary Holiday Let","Only available","No"),"")</f>
        <v/>
      </c>
      <c r="CJ128" s="146" t="str">
        <f t="shared" si="46"/>
        <v/>
      </c>
      <c r="CK128" s="146" t="str">
        <f>_xlfn.IFNA(IF(OR(INDEX(Producer!$P:$P,MATCH($D128,Producer!$A:$A,0))="Intermediary Small HMO",INDEX(Producer!$P:$P,MATCH($D128,Producer!$A:$A,0))="Intermediary Large HMO"),"Only available","No"),"")</f>
        <v/>
      </c>
      <c r="CL128" s="146" t="str">
        <f t="shared" si="47"/>
        <v/>
      </c>
      <c r="CM128" s="146" t="str">
        <f t="shared" si="48"/>
        <v/>
      </c>
      <c r="CN128" s="146" t="str">
        <f t="shared" si="49"/>
        <v/>
      </c>
      <c r="CO128" s="146" t="str">
        <f t="shared" si="50"/>
        <v/>
      </c>
      <c r="CP128" s="146" t="str">
        <f t="shared" si="51"/>
        <v/>
      </c>
      <c r="CQ128" s="146" t="str">
        <f t="shared" si="52"/>
        <v/>
      </c>
      <c r="CR128" s="146" t="str">
        <f t="shared" si="53"/>
        <v/>
      </c>
      <c r="CS128" s="146" t="str">
        <f t="shared" si="54"/>
        <v/>
      </c>
      <c r="CT128" s="146" t="str">
        <f t="shared" si="55"/>
        <v/>
      </c>
      <c r="CU128" s="146"/>
    </row>
    <row r="129" spans="1:99" ht="16.399999999999999" customHeight="1" x14ac:dyDescent="0.35">
      <c r="A129" s="145" t="str">
        <f t="shared" si="28"/>
        <v/>
      </c>
      <c r="B129" s="145" t="str">
        <f>_xlfn.IFNA(_xlfn.CONCAT(INDEX(Producer!$P:$P,MATCH($D129,Producer!$A:$A,0))," ",IF(INDEX(Producer!$N:$N,MATCH($D129,Producer!$A:$A,0))="Yes","Green ",""),IF(AND(INDEX(Producer!$L:$L,MATCH($D129,Producer!$A:$A,0))="No",INDEX(Producer!$C:$C,MATCH($D129,Producer!$A:$A,0))="Fixed"),"Flexit ",""),INDEX(Producer!$B:$B,MATCH($D129,Producer!$A:$A,0))," Year ",INDEX(Producer!$C:$C,MATCH($D129,Producer!$A:$A,0))," ",VALUE(INDEX(Producer!$E:$E,MATCH($D129,Producer!$A:$A,0)))*100,"% LTV",IF(INDEX(Producer!$N:$N,MATCH($D129,Producer!$A:$A,0))="Yes"," (EPC A-C)","")," - ",IF(INDEX(Producer!$D:$D,MATCH($D129,Producer!$A:$A,0))="DLY","Daily","Annual")),"")</f>
        <v/>
      </c>
      <c r="C129" s="146" t="str">
        <f>_xlfn.IFNA(INDEX(Producer!$Q:$Q,MATCH($D129,Producer!$A:$A,0)),"")</f>
        <v/>
      </c>
      <c r="D129" s="146" t="str">
        <f>IFERROR(VALUE(MID(Producer!$R$2,IF($D128="",1/0,FIND(_xlfn.CONCAT($D127,$D128),Producer!$R$2)+10),5)),"")</f>
        <v/>
      </c>
      <c r="E129" s="146" t="str">
        <f t="shared" si="29"/>
        <v/>
      </c>
      <c r="F129" s="146"/>
      <c r="G129" s="147" t="str">
        <f>_xlfn.IFNA(VALUE(INDEX(Producer!$F:$F,MATCH($D129,Producer!$A:$A,0)))*100,"")</f>
        <v/>
      </c>
      <c r="H129" s="216" t="str">
        <f>_xlfn.IFNA(IFERROR(DATEVALUE(INDEX(Producer!$M:$M,MATCH($D129,Producer!$A:$A,0))),(INDEX(Producer!$M:$M,MATCH($D129,Producer!$A:$A,0)))),"")</f>
        <v/>
      </c>
      <c r="I129" s="217" t="str">
        <f>_xlfn.IFNA(VALUE(INDEX(Producer!$B:$B,MATCH($D129,Producer!$A:$A,0)))*12,"")</f>
        <v/>
      </c>
      <c r="J129" s="146" t="str">
        <f>_xlfn.IFNA(IF(C129="Residential",IF(VALUE(INDEX(Producer!$B:$B,MATCH($D129,Producer!$A:$A,0)))&lt;5,Constants!$C$10,""),IF(VALUE(INDEX(Producer!$B:$B,MATCH($D129,Producer!$A:$A,0)))&lt;5,Constants!$C$11,"")),"")</f>
        <v/>
      </c>
      <c r="K129" s="216" t="str">
        <f>_xlfn.IFNA(IF(($I129)&lt;60,DATE(YEAR(H129)+(5-VALUE(INDEX(Producer!$B:$B,MATCH($D129,Producer!$A:$A,0)))),MONTH(H129),DAY(H129)),""),"")</f>
        <v/>
      </c>
      <c r="L129" s="153" t="str">
        <f t="shared" si="30"/>
        <v/>
      </c>
      <c r="M129" s="146"/>
      <c r="N129" s="148"/>
      <c r="O129" s="148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 t="str">
        <f>IF(D129="","",IF(C129="Residential",Constants!$B$10,Constants!$B$11))</f>
        <v/>
      </c>
      <c r="AL129" s="146" t="str">
        <f t="shared" si="31"/>
        <v/>
      </c>
      <c r="AM129" s="206" t="str">
        <f t="shared" si="32"/>
        <v/>
      </c>
      <c r="AN129" s="146" t="str">
        <f t="shared" si="33"/>
        <v/>
      </c>
      <c r="AO129" s="149" t="str">
        <f t="shared" si="34"/>
        <v/>
      </c>
      <c r="AP129" s="150" t="str">
        <f t="shared" si="35"/>
        <v/>
      </c>
      <c r="AQ129" s="146" t="str">
        <f>IFERROR(_xlfn.IFNA(IF($BA129="No",0,IF(INDEX(Constants!B:B,MATCH(($I129/12),Constants!$A:$A,0))=0,0,INDEX(Constants!B:B,MATCH(($I129/12),Constants!$A:$A,0)))),0),"")</f>
        <v/>
      </c>
      <c r="AR129" s="146" t="str">
        <f>IFERROR(_xlfn.IFNA(IF($BA129="No",0,IF(INDEX(Constants!C:C,MATCH(($I129/12),Constants!$A:$A,0))=0,0,INDEX(Constants!C:C,MATCH(($I129/12),Constants!$A:$A,0)))),0),"")</f>
        <v/>
      </c>
      <c r="AS129" s="146" t="str">
        <f>IFERROR(_xlfn.IFNA(IF($BA129="No",0,IF(INDEX(Constants!D:D,MATCH(($I129/12),Constants!$A:$A,0))=0,0,INDEX(Constants!D:D,MATCH(($I129/12),Constants!$A:$A,0)))),0),"")</f>
        <v/>
      </c>
      <c r="AT129" s="146" t="str">
        <f>IFERROR(_xlfn.IFNA(IF($BA129="No",0,IF(INDEX(Constants!E:E,MATCH(($I129/12),Constants!$A:$A,0))=0,0,INDEX(Constants!E:E,MATCH(($I129/12),Constants!$A:$A,0)))),0),"")</f>
        <v/>
      </c>
      <c r="AU129" s="146" t="str">
        <f>IFERROR(_xlfn.IFNA(IF($BA129="No",0,IF(INDEX(Constants!F:F,MATCH(($I129/12),Constants!$A:$A,0))=0,0,INDEX(Constants!F:F,MATCH(($I129/12),Constants!$A:$A,0)))),0),"")</f>
        <v/>
      </c>
      <c r="AV129" s="146" t="str">
        <f>IFERROR(_xlfn.IFNA(IF($BA129="No",0,IF(INDEX(Constants!G:G,MATCH(($I129/12),Constants!$A:$A,0))=0,0,INDEX(Constants!G:G,MATCH(($I129/12),Constants!$A:$A,0)))),0),"")</f>
        <v/>
      </c>
      <c r="AW129" s="146" t="str">
        <f>IFERROR(_xlfn.IFNA(IF($BA129="No",0,IF(INDEX(Constants!H:H,MATCH(($I129/12),Constants!$A:$A,0))=0,0,INDEX(Constants!H:H,MATCH(($I129/12),Constants!$A:$A,0)))),0),"")</f>
        <v/>
      </c>
      <c r="AX129" s="146" t="str">
        <f>IFERROR(_xlfn.IFNA(IF($BA129="No",0,IF(INDEX(Constants!I:I,MATCH(($I129/12),Constants!$A:$A,0))=0,0,INDEX(Constants!I:I,MATCH(($I129/12),Constants!$A:$A,0)))),0),"")</f>
        <v/>
      </c>
      <c r="AY129" s="146" t="str">
        <f>IFERROR(_xlfn.IFNA(IF($BA129="No",0,IF(INDEX(Constants!J:J,MATCH(($I129/12),Constants!$A:$A,0))=0,0,INDEX(Constants!J:J,MATCH(($I129/12),Constants!$A:$A,0)))),0),"")</f>
        <v/>
      </c>
      <c r="AZ129" s="146" t="str">
        <f>IFERROR(_xlfn.IFNA(IF($BA129="No",0,IF(INDEX(Constants!K:K,MATCH(($I129/12),Constants!$A:$A,0))=0,0,INDEX(Constants!K:K,MATCH(($I129/12),Constants!$A:$A,0)))),0),"")</f>
        <v/>
      </c>
      <c r="BA129" s="147" t="str">
        <f>_xlfn.IFNA(INDEX(Producer!$L:$L,MATCH($D129,Producer!$A:$A,0)),"")</f>
        <v/>
      </c>
      <c r="BB129" s="146" t="str">
        <f>IFERROR(IF(AQ129=0,"",IF(($I129/12)=15,_xlfn.CONCAT(Constants!$N$7,TEXT(DATE(YEAR(H129)-(($I129/12)-3),MONTH(H129),DAY(H129)),"dd/mm/yyyy"),", ",Constants!$P$7,TEXT(DATE(YEAR(H129)-(($I129/12)-8),MONTH(H129),DAY(H129)),"dd/mm/yyyy"),", ",Constants!$T$7,TEXT(DATE(YEAR(H129)-(($I129/12)-11),MONTH(H129),DAY(H129)),"dd/mm/yyyy"),", ",Constants!$V$7,TEXT(DATE(YEAR(H129)-(($I129/12)-13),MONTH(H129),DAY(H129)),"dd/mm/yyyy"),", ",Constants!$W$7,TEXT($H129,"dd/mm/yyyy")),IF(($I129/12)=10,_xlfn.CONCAT(Constants!$N$6,TEXT(DATE(YEAR(H129)-(($I129/12)-2),MONTH(H129),DAY(H129)),"dd/mm/yyyy"),", ",Constants!$P$6,TEXT(DATE(YEAR(H129)-(($I129/12)-6),MONTH(H129),DAY(H129)),"dd/mm/yyyy"),", ",Constants!$T$6,TEXT(DATE(YEAR(H129)-(($I129/12)-8),MONTH(H129),DAY(H129)),"dd/mm/yyyy"),", ",Constants!$V$6,TEXT(DATE(YEAR(H129)-(($I129/12)-9),MONTH(H129),DAY(H129)),"dd/mm/yyyy"),", ",Constants!$W$6,TEXT($H129,"dd/mm/yyyy")),IF(($I129/12)=5,_xlfn.CONCAT(Constants!$N$5,TEXT(DATE(YEAR(H129)-(($I129/12)-1),MONTH(H129),DAY(H129)),"dd/mm/yyyy"),", ",Constants!$O$5,TEXT(DATE(YEAR(H129)-(($I129/12)-2),MONTH(H129),DAY(H129)),"dd/mm/yyyy"),", ",Constants!$P$5,TEXT(DATE(YEAR(H129)-(($I129/12)-3),MONTH(H129),DAY(H129)),"dd/mm/yyyy"),", ",Constants!$Q$5,TEXT(DATE(YEAR(H129)-(($I129/12)-4),MONTH(H129),DAY(H129)),"dd/mm/yyyy"),", ",Constants!$R$5,TEXT($H129,"dd/mm/yyyy")),IF(($I129/12)=3,_xlfn.CONCAT(Constants!$N$4,TEXT(DATE(YEAR(H129)-(($I129/12)-1),MONTH(H129),DAY(H129)),"dd/mm/yyyy"),", ",Constants!$O$4,TEXT(DATE(YEAR(H129)-(($I129/12)-2),MONTH(H129),DAY(H129)),"dd/mm/yyyy"),", ",Constants!$P$4,TEXT($H129,"dd/mm/yyyy")),IF(($I129/12)=2,_xlfn.CONCAT(Constants!$N$3,TEXT(DATE(YEAR(H129)-(($I129/12)-1),MONTH(H129),DAY(H129)),"dd/mm/yyyy"),", ",Constants!$O$3,TEXT($H129,"dd/mm/yyyy")),IF(($I129/12)=1,_xlfn.CONCAT(Constants!$N$2,TEXT($H129,"dd/mm/yyyy")),"Update Constants"))))))),"")</f>
        <v/>
      </c>
      <c r="BC129" s="147" t="str">
        <f>_xlfn.IFNA(VALUE(INDEX(Producer!$K:$K,MATCH($D129,Producer!$A:$A,0))),"")</f>
        <v/>
      </c>
      <c r="BD129" s="147" t="str">
        <f>_xlfn.IFNA(INDEX(Producer!$I:$I,MATCH($D129,Producer!$A:$A,0)),"")</f>
        <v/>
      </c>
      <c r="BE129" s="147" t="str">
        <f t="shared" si="36"/>
        <v/>
      </c>
      <c r="BF129" s="147"/>
      <c r="BG129" s="147"/>
      <c r="BH129" s="151" t="str">
        <f>_xlfn.IFNA(INDEX(Constants!$B:$B,MATCH(BC129,Constants!A:A,0)),"")</f>
        <v/>
      </c>
      <c r="BI129" s="147" t="str">
        <f>IF(LEFT(B129,15)="Limited Company",Constants!$D$16,IFERROR(_xlfn.IFNA(IF(C129="Residential",IF(BK129&lt;75,INDEX(Constants!$B:$B,MATCH(VALUE(60)/100,Constants!$A:$A,0)),INDEX(Constants!$B:$B,MATCH(VALUE(BK129)/100,Constants!$A:$A,0))),IF(BK129&lt;60,INDEX(Constants!$C:$C,MATCH(VALUE(60)/100,Constants!$A:$A,0)),INDEX(Constants!$C:$C,MATCH(VALUE(BK129)/100,Constants!$A:$A,0)))),""),""))</f>
        <v/>
      </c>
      <c r="BJ129" s="147" t="str">
        <f t="shared" si="37"/>
        <v/>
      </c>
      <c r="BK129" s="147" t="str">
        <f>_xlfn.IFNA(VALUE(INDEX(Producer!$E:$E,MATCH($D129,Producer!$A:$A,0)))*100,"")</f>
        <v/>
      </c>
      <c r="BL129" s="146" t="str">
        <f>_xlfn.IFNA(IF(IFERROR(FIND("Part &amp; Part",B129),-10)&gt;0,"PP",IF(OR(LEFT(B129,25)="Residential Interest Only",INDEX(Producer!$P:$P,MATCH($D129,Producer!$A:$A,0))="IO",INDEX(Producer!$P:$P,MATCH($D129,Producer!$A:$A,0))="Retirement Interest Only"),"IO",IF($C129="BuyToLet","CI, IO","CI"))),"")</f>
        <v/>
      </c>
      <c r="BM129" s="152" t="str">
        <f>_xlfn.IFNA(IF(BL129="IO",100%,IF(AND(INDEX(Producer!$P:$P,MATCH($D129,Producer!$A:$A,0))="Residential Interest Only Part &amp; Part",BK129=75),80%,IF(C129="BuyToLet",100%,IF(BL129="Interest Only",100%,IF(AND(INDEX(Producer!$P:$P,MATCH($D129,Producer!$A:$A,0))="Residential Interest Only Part &amp; Part",BK129=60),100%,""))))),"")</f>
        <v/>
      </c>
      <c r="BN129" s="218" t="str">
        <f>_xlfn.IFNA(IF(VALUE(INDEX(Producer!$H:$H,MATCH($D129,Producer!$A:$A,0)))=0,"",VALUE(INDEX(Producer!$H:$H,MATCH($D129,Producer!$A:$A,0)))),"")</f>
        <v/>
      </c>
      <c r="BO129" s="153"/>
      <c r="BP129" s="153"/>
      <c r="BQ129" s="219" t="str">
        <f t="shared" si="38"/>
        <v/>
      </c>
      <c r="BR129" s="146"/>
      <c r="BS129" s="146"/>
      <c r="BT129" s="146"/>
      <c r="BU129" s="146"/>
      <c r="BV129" s="219" t="str">
        <f t="shared" si="39"/>
        <v/>
      </c>
      <c r="BW129" s="146"/>
      <c r="BX129" s="146"/>
      <c r="BY129" s="146" t="str">
        <f t="shared" si="40"/>
        <v/>
      </c>
      <c r="BZ129" s="146" t="str">
        <f t="shared" si="41"/>
        <v/>
      </c>
      <c r="CA129" s="146" t="str">
        <f t="shared" si="42"/>
        <v/>
      </c>
      <c r="CB129" s="146" t="str">
        <f t="shared" si="43"/>
        <v/>
      </c>
      <c r="CC129" s="146" t="str">
        <f>_xlfn.IFNA(IF(INDEX(Producer!$P:$P,MATCH($D129,Producer!$A:$A,0))="Help to Buy","Only available","No"),"")</f>
        <v/>
      </c>
      <c r="CD129" s="146" t="str">
        <f>_xlfn.IFNA(IF(INDEX(Producer!$P:$P,MATCH($D129,Producer!$A:$A,0))="Shared Ownership","Only available","No"),"")</f>
        <v/>
      </c>
      <c r="CE129" s="146" t="str">
        <f>_xlfn.IFNA(IF(INDEX(Producer!$P:$P,MATCH($D129,Producer!$A:$A,0))="Right to Buy","Only available","No"),"")</f>
        <v/>
      </c>
      <c r="CF129" s="146" t="str">
        <f t="shared" si="44"/>
        <v/>
      </c>
      <c r="CG129" s="146" t="str">
        <f>_xlfn.IFNA(IF(INDEX(Producer!$P:$P,MATCH($D129,Producer!$A:$A,0))="Retirement Interest Only","Only available","No"),"")</f>
        <v/>
      </c>
      <c r="CH129" s="146" t="str">
        <f t="shared" si="45"/>
        <v/>
      </c>
      <c r="CI129" s="146" t="str">
        <f>_xlfn.IFNA(IF(INDEX(Producer!$P:$P,MATCH($D129,Producer!$A:$A,0))="Intermediary Holiday Let","Only available","No"),"")</f>
        <v/>
      </c>
      <c r="CJ129" s="146" t="str">
        <f t="shared" si="46"/>
        <v/>
      </c>
      <c r="CK129" s="146" t="str">
        <f>_xlfn.IFNA(IF(OR(INDEX(Producer!$P:$P,MATCH($D129,Producer!$A:$A,0))="Intermediary Small HMO",INDEX(Producer!$P:$P,MATCH($D129,Producer!$A:$A,0))="Intermediary Large HMO"),"Only available","No"),"")</f>
        <v/>
      </c>
      <c r="CL129" s="146" t="str">
        <f t="shared" si="47"/>
        <v/>
      </c>
      <c r="CM129" s="146" t="str">
        <f t="shared" si="48"/>
        <v/>
      </c>
      <c r="CN129" s="146" t="str">
        <f t="shared" si="49"/>
        <v/>
      </c>
      <c r="CO129" s="146" t="str">
        <f t="shared" si="50"/>
        <v/>
      </c>
      <c r="CP129" s="146" t="str">
        <f t="shared" si="51"/>
        <v/>
      </c>
      <c r="CQ129" s="146" t="str">
        <f t="shared" si="52"/>
        <v/>
      </c>
      <c r="CR129" s="146" t="str">
        <f t="shared" si="53"/>
        <v/>
      </c>
      <c r="CS129" s="146" t="str">
        <f t="shared" si="54"/>
        <v/>
      </c>
      <c r="CT129" s="146" t="str">
        <f t="shared" si="55"/>
        <v/>
      </c>
      <c r="CU129" s="146"/>
    </row>
    <row r="130" spans="1:99" ht="16.399999999999999" customHeight="1" x14ac:dyDescent="0.35">
      <c r="A130" s="145" t="str">
        <f t="shared" si="28"/>
        <v/>
      </c>
      <c r="B130" s="145" t="str">
        <f>_xlfn.IFNA(_xlfn.CONCAT(INDEX(Producer!$P:$P,MATCH($D130,Producer!$A:$A,0))," ",IF(INDEX(Producer!$N:$N,MATCH($D130,Producer!$A:$A,0))="Yes","Green ",""),IF(AND(INDEX(Producer!$L:$L,MATCH($D130,Producer!$A:$A,0))="No",INDEX(Producer!$C:$C,MATCH($D130,Producer!$A:$A,0))="Fixed"),"Flexit ",""),INDEX(Producer!$B:$B,MATCH($D130,Producer!$A:$A,0))," Year ",INDEX(Producer!$C:$C,MATCH($D130,Producer!$A:$A,0))," ",VALUE(INDEX(Producer!$E:$E,MATCH($D130,Producer!$A:$A,0)))*100,"% LTV",IF(INDEX(Producer!$N:$N,MATCH($D130,Producer!$A:$A,0))="Yes"," (EPC A-C)","")," - ",IF(INDEX(Producer!$D:$D,MATCH($D130,Producer!$A:$A,0))="DLY","Daily","Annual")),"")</f>
        <v/>
      </c>
      <c r="C130" s="146" t="str">
        <f>_xlfn.IFNA(INDEX(Producer!$Q:$Q,MATCH($D130,Producer!$A:$A,0)),"")</f>
        <v/>
      </c>
      <c r="D130" s="146" t="str">
        <f>IFERROR(VALUE(MID(Producer!$R$2,IF($D129="",1/0,FIND(_xlfn.CONCAT($D128,$D129),Producer!$R$2)+10),5)),"")</f>
        <v/>
      </c>
      <c r="E130" s="146" t="str">
        <f t="shared" si="29"/>
        <v/>
      </c>
      <c r="F130" s="146"/>
      <c r="G130" s="147" t="str">
        <f>_xlfn.IFNA(VALUE(INDEX(Producer!$F:$F,MATCH($D130,Producer!$A:$A,0)))*100,"")</f>
        <v/>
      </c>
      <c r="H130" s="216" t="str">
        <f>_xlfn.IFNA(IFERROR(DATEVALUE(INDEX(Producer!$M:$M,MATCH($D130,Producer!$A:$A,0))),(INDEX(Producer!$M:$M,MATCH($D130,Producer!$A:$A,0)))),"")</f>
        <v/>
      </c>
      <c r="I130" s="217" t="str">
        <f>_xlfn.IFNA(VALUE(INDEX(Producer!$B:$B,MATCH($D130,Producer!$A:$A,0)))*12,"")</f>
        <v/>
      </c>
      <c r="J130" s="146" t="str">
        <f>_xlfn.IFNA(IF(C130="Residential",IF(VALUE(INDEX(Producer!$B:$B,MATCH($D130,Producer!$A:$A,0)))&lt;5,Constants!$C$10,""),IF(VALUE(INDEX(Producer!$B:$B,MATCH($D130,Producer!$A:$A,0)))&lt;5,Constants!$C$11,"")),"")</f>
        <v/>
      </c>
      <c r="K130" s="216" t="str">
        <f>_xlfn.IFNA(IF(($I130)&lt;60,DATE(YEAR(H130)+(5-VALUE(INDEX(Producer!$B:$B,MATCH($D130,Producer!$A:$A,0)))),MONTH(H130),DAY(H130)),""),"")</f>
        <v/>
      </c>
      <c r="L130" s="153" t="str">
        <f t="shared" si="30"/>
        <v/>
      </c>
      <c r="M130" s="146"/>
      <c r="N130" s="148"/>
      <c r="O130" s="148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 t="str">
        <f>IF(D130="","",IF(C130="Residential",Constants!$B$10,Constants!$B$11))</f>
        <v/>
      </c>
      <c r="AL130" s="146" t="str">
        <f t="shared" si="31"/>
        <v/>
      </c>
      <c r="AM130" s="206" t="str">
        <f t="shared" si="32"/>
        <v/>
      </c>
      <c r="AN130" s="146" t="str">
        <f t="shared" si="33"/>
        <v/>
      </c>
      <c r="AO130" s="149" t="str">
        <f t="shared" si="34"/>
        <v/>
      </c>
      <c r="AP130" s="150" t="str">
        <f t="shared" si="35"/>
        <v/>
      </c>
      <c r="AQ130" s="146" t="str">
        <f>IFERROR(_xlfn.IFNA(IF($BA130="No",0,IF(INDEX(Constants!B:B,MATCH(($I130/12),Constants!$A:$A,0))=0,0,INDEX(Constants!B:B,MATCH(($I130/12),Constants!$A:$A,0)))),0),"")</f>
        <v/>
      </c>
      <c r="AR130" s="146" t="str">
        <f>IFERROR(_xlfn.IFNA(IF($BA130="No",0,IF(INDEX(Constants!C:C,MATCH(($I130/12),Constants!$A:$A,0))=0,0,INDEX(Constants!C:C,MATCH(($I130/12),Constants!$A:$A,0)))),0),"")</f>
        <v/>
      </c>
      <c r="AS130" s="146" t="str">
        <f>IFERROR(_xlfn.IFNA(IF($BA130="No",0,IF(INDEX(Constants!D:D,MATCH(($I130/12),Constants!$A:$A,0))=0,0,INDEX(Constants!D:D,MATCH(($I130/12),Constants!$A:$A,0)))),0),"")</f>
        <v/>
      </c>
      <c r="AT130" s="146" t="str">
        <f>IFERROR(_xlfn.IFNA(IF($BA130="No",0,IF(INDEX(Constants!E:E,MATCH(($I130/12),Constants!$A:$A,0))=0,0,INDEX(Constants!E:E,MATCH(($I130/12),Constants!$A:$A,0)))),0),"")</f>
        <v/>
      </c>
      <c r="AU130" s="146" t="str">
        <f>IFERROR(_xlfn.IFNA(IF($BA130="No",0,IF(INDEX(Constants!F:F,MATCH(($I130/12),Constants!$A:$A,0))=0,0,INDEX(Constants!F:F,MATCH(($I130/12),Constants!$A:$A,0)))),0),"")</f>
        <v/>
      </c>
      <c r="AV130" s="146" t="str">
        <f>IFERROR(_xlfn.IFNA(IF($BA130="No",0,IF(INDEX(Constants!G:G,MATCH(($I130/12),Constants!$A:$A,0))=0,0,INDEX(Constants!G:G,MATCH(($I130/12),Constants!$A:$A,0)))),0),"")</f>
        <v/>
      </c>
      <c r="AW130" s="146" t="str">
        <f>IFERROR(_xlfn.IFNA(IF($BA130="No",0,IF(INDEX(Constants!H:H,MATCH(($I130/12),Constants!$A:$A,0))=0,0,INDEX(Constants!H:H,MATCH(($I130/12),Constants!$A:$A,0)))),0),"")</f>
        <v/>
      </c>
      <c r="AX130" s="146" t="str">
        <f>IFERROR(_xlfn.IFNA(IF($BA130="No",0,IF(INDEX(Constants!I:I,MATCH(($I130/12),Constants!$A:$A,0))=0,0,INDEX(Constants!I:I,MATCH(($I130/12),Constants!$A:$A,0)))),0),"")</f>
        <v/>
      </c>
      <c r="AY130" s="146" t="str">
        <f>IFERROR(_xlfn.IFNA(IF($BA130="No",0,IF(INDEX(Constants!J:J,MATCH(($I130/12),Constants!$A:$A,0))=0,0,INDEX(Constants!J:J,MATCH(($I130/12),Constants!$A:$A,0)))),0),"")</f>
        <v/>
      </c>
      <c r="AZ130" s="146" t="str">
        <f>IFERROR(_xlfn.IFNA(IF($BA130="No",0,IF(INDEX(Constants!K:K,MATCH(($I130/12),Constants!$A:$A,0))=0,0,INDEX(Constants!K:K,MATCH(($I130/12),Constants!$A:$A,0)))),0),"")</f>
        <v/>
      </c>
      <c r="BA130" s="147" t="str">
        <f>_xlfn.IFNA(INDEX(Producer!$L:$L,MATCH($D130,Producer!$A:$A,0)),"")</f>
        <v/>
      </c>
      <c r="BB130" s="146" t="str">
        <f>IFERROR(IF(AQ130=0,"",IF(($I130/12)=15,_xlfn.CONCAT(Constants!$N$7,TEXT(DATE(YEAR(H130)-(($I130/12)-3),MONTH(H130),DAY(H130)),"dd/mm/yyyy"),", ",Constants!$P$7,TEXT(DATE(YEAR(H130)-(($I130/12)-8),MONTH(H130),DAY(H130)),"dd/mm/yyyy"),", ",Constants!$T$7,TEXT(DATE(YEAR(H130)-(($I130/12)-11),MONTH(H130),DAY(H130)),"dd/mm/yyyy"),", ",Constants!$V$7,TEXT(DATE(YEAR(H130)-(($I130/12)-13),MONTH(H130),DAY(H130)),"dd/mm/yyyy"),", ",Constants!$W$7,TEXT($H130,"dd/mm/yyyy")),IF(($I130/12)=10,_xlfn.CONCAT(Constants!$N$6,TEXT(DATE(YEAR(H130)-(($I130/12)-2),MONTH(H130),DAY(H130)),"dd/mm/yyyy"),", ",Constants!$P$6,TEXT(DATE(YEAR(H130)-(($I130/12)-6),MONTH(H130),DAY(H130)),"dd/mm/yyyy"),", ",Constants!$T$6,TEXT(DATE(YEAR(H130)-(($I130/12)-8),MONTH(H130),DAY(H130)),"dd/mm/yyyy"),", ",Constants!$V$6,TEXT(DATE(YEAR(H130)-(($I130/12)-9),MONTH(H130),DAY(H130)),"dd/mm/yyyy"),", ",Constants!$W$6,TEXT($H130,"dd/mm/yyyy")),IF(($I130/12)=5,_xlfn.CONCAT(Constants!$N$5,TEXT(DATE(YEAR(H130)-(($I130/12)-1),MONTH(H130),DAY(H130)),"dd/mm/yyyy"),", ",Constants!$O$5,TEXT(DATE(YEAR(H130)-(($I130/12)-2),MONTH(H130),DAY(H130)),"dd/mm/yyyy"),", ",Constants!$P$5,TEXT(DATE(YEAR(H130)-(($I130/12)-3),MONTH(H130),DAY(H130)),"dd/mm/yyyy"),", ",Constants!$Q$5,TEXT(DATE(YEAR(H130)-(($I130/12)-4),MONTH(H130),DAY(H130)),"dd/mm/yyyy"),", ",Constants!$R$5,TEXT($H130,"dd/mm/yyyy")),IF(($I130/12)=3,_xlfn.CONCAT(Constants!$N$4,TEXT(DATE(YEAR(H130)-(($I130/12)-1),MONTH(H130),DAY(H130)),"dd/mm/yyyy"),", ",Constants!$O$4,TEXT(DATE(YEAR(H130)-(($I130/12)-2),MONTH(H130),DAY(H130)),"dd/mm/yyyy"),", ",Constants!$P$4,TEXT($H130,"dd/mm/yyyy")),IF(($I130/12)=2,_xlfn.CONCAT(Constants!$N$3,TEXT(DATE(YEAR(H130)-(($I130/12)-1),MONTH(H130),DAY(H130)),"dd/mm/yyyy"),", ",Constants!$O$3,TEXT($H130,"dd/mm/yyyy")),IF(($I130/12)=1,_xlfn.CONCAT(Constants!$N$2,TEXT($H130,"dd/mm/yyyy")),"Update Constants"))))))),"")</f>
        <v/>
      </c>
      <c r="BC130" s="147" t="str">
        <f>_xlfn.IFNA(VALUE(INDEX(Producer!$K:$K,MATCH($D130,Producer!$A:$A,0))),"")</f>
        <v/>
      </c>
      <c r="BD130" s="147" t="str">
        <f>_xlfn.IFNA(INDEX(Producer!$I:$I,MATCH($D130,Producer!$A:$A,0)),"")</f>
        <v/>
      </c>
      <c r="BE130" s="147" t="str">
        <f t="shared" si="36"/>
        <v/>
      </c>
      <c r="BF130" s="147"/>
      <c r="BG130" s="147"/>
      <c r="BH130" s="151" t="str">
        <f>_xlfn.IFNA(INDEX(Constants!$B:$B,MATCH(BC130,Constants!A:A,0)),"")</f>
        <v/>
      </c>
      <c r="BI130" s="147" t="str">
        <f>IF(LEFT(B130,15)="Limited Company",Constants!$D$16,IFERROR(_xlfn.IFNA(IF(C130="Residential",IF(BK130&lt;75,INDEX(Constants!$B:$B,MATCH(VALUE(60)/100,Constants!$A:$A,0)),INDEX(Constants!$B:$B,MATCH(VALUE(BK130)/100,Constants!$A:$A,0))),IF(BK130&lt;60,INDEX(Constants!$C:$C,MATCH(VALUE(60)/100,Constants!$A:$A,0)),INDEX(Constants!$C:$C,MATCH(VALUE(BK130)/100,Constants!$A:$A,0)))),""),""))</f>
        <v/>
      </c>
      <c r="BJ130" s="147" t="str">
        <f t="shared" si="37"/>
        <v/>
      </c>
      <c r="BK130" s="147" t="str">
        <f>_xlfn.IFNA(VALUE(INDEX(Producer!$E:$E,MATCH($D130,Producer!$A:$A,0)))*100,"")</f>
        <v/>
      </c>
      <c r="BL130" s="146" t="str">
        <f>_xlfn.IFNA(IF(IFERROR(FIND("Part &amp; Part",B130),-10)&gt;0,"PP",IF(OR(LEFT(B130,25)="Residential Interest Only",INDEX(Producer!$P:$P,MATCH($D130,Producer!$A:$A,0))="IO",INDEX(Producer!$P:$P,MATCH($D130,Producer!$A:$A,0))="Retirement Interest Only"),"IO",IF($C130="BuyToLet","CI, IO","CI"))),"")</f>
        <v/>
      </c>
      <c r="BM130" s="152" t="str">
        <f>_xlfn.IFNA(IF(BL130="IO",100%,IF(AND(INDEX(Producer!$P:$P,MATCH($D130,Producer!$A:$A,0))="Residential Interest Only Part &amp; Part",BK130=75),80%,IF(C130="BuyToLet",100%,IF(BL130="Interest Only",100%,IF(AND(INDEX(Producer!$P:$P,MATCH($D130,Producer!$A:$A,0))="Residential Interest Only Part &amp; Part",BK130=60),100%,""))))),"")</f>
        <v/>
      </c>
      <c r="BN130" s="218" t="str">
        <f>_xlfn.IFNA(IF(VALUE(INDEX(Producer!$H:$H,MATCH($D130,Producer!$A:$A,0)))=0,"",VALUE(INDEX(Producer!$H:$H,MATCH($D130,Producer!$A:$A,0)))),"")</f>
        <v/>
      </c>
      <c r="BO130" s="153"/>
      <c r="BP130" s="153"/>
      <c r="BQ130" s="219" t="str">
        <f t="shared" si="38"/>
        <v/>
      </c>
      <c r="BR130" s="146"/>
      <c r="BS130" s="146"/>
      <c r="BT130" s="146"/>
      <c r="BU130" s="146"/>
      <c r="BV130" s="219" t="str">
        <f t="shared" si="39"/>
        <v/>
      </c>
      <c r="BW130" s="146"/>
      <c r="BX130" s="146"/>
      <c r="BY130" s="146" t="str">
        <f t="shared" si="40"/>
        <v/>
      </c>
      <c r="BZ130" s="146" t="str">
        <f t="shared" si="41"/>
        <v/>
      </c>
      <c r="CA130" s="146" t="str">
        <f t="shared" si="42"/>
        <v/>
      </c>
      <c r="CB130" s="146" t="str">
        <f t="shared" si="43"/>
        <v/>
      </c>
      <c r="CC130" s="146" t="str">
        <f>_xlfn.IFNA(IF(INDEX(Producer!$P:$P,MATCH($D130,Producer!$A:$A,0))="Help to Buy","Only available","No"),"")</f>
        <v/>
      </c>
      <c r="CD130" s="146" t="str">
        <f>_xlfn.IFNA(IF(INDEX(Producer!$P:$P,MATCH($D130,Producer!$A:$A,0))="Shared Ownership","Only available","No"),"")</f>
        <v/>
      </c>
      <c r="CE130" s="146" t="str">
        <f>_xlfn.IFNA(IF(INDEX(Producer!$P:$P,MATCH($D130,Producer!$A:$A,0))="Right to Buy","Only available","No"),"")</f>
        <v/>
      </c>
      <c r="CF130" s="146" t="str">
        <f t="shared" si="44"/>
        <v/>
      </c>
      <c r="CG130" s="146" t="str">
        <f>_xlfn.IFNA(IF(INDEX(Producer!$P:$P,MATCH($D130,Producer!$A:$A,0))="Retirement Interest Only","Only available","No"),"")</f>
        <v/>
      </c>
      <c r="CH130" s="146" t="str">
        <f t="shared" si="45"/>
        <v/>
      </c>
      <c r="CI130" s="146" t="str">
        <f>_xlfn.IFNA(IF(INDEX(Producer!$P:$P,MATCH($D130,Producer!$A:$A,0))="Intermediary Holiday Let","Only available","No"),"")</f>
        <v/>
      </c>
      <c r="CJ130" s="146" t="str">
        <f t="shared" si="46"/>
        <v/>
      </c>
      <c r="CK130" s="146" t="str">
        <f>_xlfn.IFNA(IF(OR(INDEX(Producer!$P:$P,MATCH($D130,Producer!$A:$A,0))="Intermediary Small HMO",INDEX(Producer!$P:$P,MATCH($D130,Producer!$A:$A,0))="Intermediary Large HMO"),"Only available","No"),"")</f>
        <v/>
      </c>
      <c r="CL130" s="146" t="str">
        <f t="shared" si="47"/>
        <v/>
      </c>
      <c r="CM130" s="146" t="str">
        <f t="shared" si="48"/>
        <v/>
      </c>
      <c r="CN130" s="146" t="str">
        <f t="shared" si="49"/>
        <v/>
      </c>
      <c r="CO130" s="146" t="str">
        <f t="shared" si="50"/>
        <v/>
      </c>
      <c r="CP130" s="146" t="str">
        <f t="shared" si="51"/>
        <v/>
      </c>
      <c r="CQ130" s="146" t="str">
        <f t="shared" si="52"/>
        <v/>
      </c>
      <c r="CR130" s="146" t="str">
        <f t="shared" si="53"/>
        <v/>
      </c>
      <c r="CS130" s="146" t="str">
        <f t="shared" si="54"/>
        <v/>
      </c>
      <c r="CT130" s="146" t="str">
        <f t="shared" si="55"/>
        <v/>
      </c>
      <c r="CU130" s="146"/>
    </row>
    <row r="131" spans="1:99" ht="16.399999999999999" customHeight="1" x14ac:dyDescent="0.35">
      <c r="A131" s="145" t="str">
        <f t="shared" ref="A131:A194" si="56">IF(B131="","","Leeds Building Society")</f>
        <v/>
      </c>
      <c r="B131" s="145" t="str">
        <f>_xlfn.IFNA(_xlfn.CONCAT(INDEX(Producer!$P:$P,MATCH($D131,Producer!$A:$A,0))," ",IF(INDEX(Producer!$N:$N,MATCH($D131,Producer!$A:$A,0))="Yes","Green ",""),IF(AND(INDEX(Producer!$L:$L,MATCH($D131,Producer!$A:$A,0))="No",INDEX(Producer!$C:$C,MATCH($D131,Producer!$A:$A,0))="Fixed"),"Flexit ",""),INDEX(Producer!$B:$B,MATCH($D131,Producer!$A:$A,0))," Year ",INDEX(Producer!$C:$C,MATCH($D131,Producer!$A:$A,0))," ",VALUE(INDEX(Producer!$E:$E,MATCH($D131,Producer!$A:$A,0)))*100,"% LTV",IF(INDEX(Producer!$N:$N,MATCH($D131,Producer!$A:$A,0))="Yes"," (EPC A-C)","")," - ",IF(INDEX(Producer!$D:$D,MATCH($D131,Producer!$A:$A,0))="DLY","Daily","Annual")),"")</f>
        <v/>
      </c>
      <c r="C131" s="146" t="str">
        <f>_xlfn.IFNA(INDEX(Producer!$Q:$Q,MATCH($D131,Producer!$A:$A,0)),"")</f>
        <v/>
      </c>
      <c r="D131" s="146" t="str">
        <f>IFERROR(VALUE(MID(Producer!$R$2,IF($D130="",1/0,FIND(_xlfn.CONCAT($D129,$D130),Producer!$R$2)+10),5)),"")</f>
        <v/>
      </c>
      <c r="E131" s="146" t="str">
        <f t="shared" ref="E131:E194" si="57">IF(D131="","",IF(IFERROR(FIND("Tracker",B131),-1)&gt;0,"Tracker",IF(J131="","Fixed","Stepped Fixed")))</f>
        <v/>
      </c>
      <c r="F131" s="146"/>
      <c r="G131" s="147" t="str">
        <f>_xlfn.IFNA(VALUE(INDEX(Producer!$F:$F,MATCH($D131,Producer!$A:$A,0)))*100,"")</f>
        <v/>
      </c>
      <c r="H131" s="216" t="str">
        <f>_xlfn.IFNA(IFERROR(DATEVALUE(INDEX(Producer!$M:$M,MATCH($D131,Producer!$A:$A,0))),(INDEX(Producer!$M:$M,MATCH($D131,Producer!$A:$A,0)))),"")</f>
        <v/>
      </c>
      <c r="I131" s="217" t="str">
        <f>_xlfn.IFNA(VALUE(INDEX(Producer!$B:$B,MATCH($D131,Producer!$A:$A,0)))*12,"")</f>
        <v/>
      </c>
      <c r="J131" s="146" t="str">
        <f>_xlfn.IFNA(IF(C131="Residential",IF(VALUE(INDEX(Producer!$B:$B,MATCH($D131,Producer!$A:$A,0)))&lt;5,Constants!$C$10,""),IF(VALUE(INDEX(Producer!$B:$B,MATCH($D131,Producer!$A:$A,0)))&lt;5,Constants!$C$11,"")),"")</f>
        <v/>
      </c>
      <c r="K131" s="216" t="str">
        <f>_xlfn.IFNA(IF(($I131)&lt;60,DATE(YEAR(H131)+(5-VALUE(INDEX(Producer!$B:$B,MATCH($D131,Producer!$A:$A,0)))),MONTH(H131),DAY(H131)),""),"")</f>
        <v/>
      </c>
      <c r="L131" s="153" t="str">
        <f t="shared" ref="L131:L194" si="58">IFERROR(ROUNDDOWN(VALUE((K131-H131)/365)*12,0),"")</f>
        <v/>
      </c>
      <c r="M131" s="146"/>
      <c r="N131" s="148"/>
      <c r="O131" s="148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 t="str">
        <f>IF(D131="","",IF(C131="Residential",Constants!$B$10,Constants!$B$11))</f>
        <v/>
      </c>
      <c r="AL131" s="146" t="str">
        <f t="shared" ref="AL131:AL194" si="59">IF(D131="","",IF(C131="Residential","SVR","BVR"))</f>
        <v/>
      </c>
      <c r="AM131" s="206" t="str">
        <f t="shared" ref="AM131:AM194" si="60">IF(E131="Tracker",0%,"")</f>
        <v/>
      </c>
      <c r="AN131" s="146" t="str">
        <f t="shared" ref="AN131:AN194" si="61">IF(D131="","",IFERROR(IF(AQ131="","",10),10))</f>
        <v/>
      </c>
      <c r="AO131" s="149" t="str">
        <f t="shared" ref="AO131:AO194" si="62">IF(A131="","","Remortgage")</f>
        <v/>
      </c>
      <c r="AP131" s="150" t="str">
        <f t="shared" ref="AP131:AP194" si="63">IF(D131="","","ProductTransfer")</f>
        <v/>
      </c>
      <c r="AQ131" s="146" t="str">
        <f>IFERROR(_xlfn.IFNA(IF($BA131="No",0,IF(INDEX(Constants!B:B,MATCH(($I131/12),Constants!$A:$A,0))=0,0,INDEX(Constants!B:B,MATCH(($I131/12),Constants!$A:$A,0)))),0),"")</f>
        <v/>
      </c>
      <c r="AR131" s="146" t="str">
        <f>IFERROR(_xlfn.IFNA(IF($BA131="No",0,IF(INDEX(Constants!C:C,MATCH(($I131/12),Constants!$A:$A,0))=0,0,INDEX(Constants!C:C,MATCH(($I131/12),Constants!$A:$A,0)))),0),"")</f>
        <v/>
      </c>
      <c r="AS131" s="146" t="str">
        <f>IFERROR(_xlfn.IFNA(IF($BA131="No",0,IF(INDEX(Constants!D:D,MATCH(($I131/12),Constants!$A:$A,0))=0,0,INDEX(Constants!D:D,MATCH(($I131/12),Constants!$A:$A,0)))),0),"")</f>
        <v/>
      </c>
      <c r="AT131" s="146" t="str">
        <f>IFERROR(_xlfn.IFNA(IF($BA131="No",0,IF(INDEX(Constants!E:E,MATCH(($I131/12),Constants!$A:$A,0))=0,0,INDEX(Constants!E:E,MATCH(($I131/12),Constants!$A:$A,0)))),0),"")</f>
        <v/>
      </c>
      <c r="AU131" s="146" t="str">
        <f>IFERROR(_xlfn.IFNA(IF($BA131="No",0,IF(INDEX(Constants!F:F,MATCH(($I131/12),Constants!$A:$A,0))=0,0,INDEX(Constants!F:F,MATCH(($I131/12),Constants!$A:$A,0)))),0),"")</f>
        <v/>
      </c>
      <c r="AV131" s="146" t="str">
        <f>IFERROR(_xlfn.IFNA(IF($BA131="No",0,IF(INDEX(Constants!G:G,MATCH(($I131/12),Constants!$A:$A,0))=0,0,INDEX(Constants!G:G,MATCH(($I131/12),Constants!$A:$A,0)))),0),"")</f>
        <v/>
      </c>
      <c r="AW131" s="146" t="str">
        <f>IFERROR(_xlfn.IFNA(IF($BA131="No",0,IF(INDEX(Constants!H:H,MATCH(($I131/12),Constants!$A:$A,0))=0,0,INDEX(Constants!H:H,MATCH(($I131/12),Constants!$A:$A,0)))),0),"")</f>
        <v/>
      </c>
      <c r="AX131" s="146" t="str">
        <f>IFERROR(_xlfn.IFNA(IF($BA131="No",0,IF(INDEX(Constants!I:I,MATCH(($I131/12),Constants!$A:$A,0))=0,0,INDEX(Constants!I:I,MATCH(($I131/12),Constants!$A:$A,0)))),0),"")</f>
        <v/>
      </c>
      <c r="AY131" s="146" t="str">
        <f>IFERROR(_xlfn.IFNA(IF($BA131="No",0,IF(INDEX(Constants!J:J,MATCH(($I131/12),Constants!$A:$A,0))=0,0,INDEX(Constants!J:J,MATCH(($I131/12),Constants!$A:$A,0)))),0),"")</f>
        <v/>
      </c>
      <c r="AZ131" s="146" t="str">
        <f>IFERROR(_xlfn.IFNA(IF($BA131="No",0,IF(INDEX(Constants!K:K,MATCH(($I131/12),Constants!$A:$A,0))=0,0,INDEX(Constants!K:K,MATCH(($I131/12),Constants!$A:$A,0)))),0),"")</f>
        <v/>
      </c>
      <c r="BA131" s="147" t="str">
        <f>_xlfn.IFNA(INDEX(Producer!$L:$L,MATCH($D131,Producer!$A:$A,0)),"")</f>
        <v/>
      </c>
      <c r="BB131" s="146" t="str">
        <f>IFERROR(IF(AQ131=0,"",IF(($I131/12)=15,_xlfn.CONCAT(Constants!$N$7,TEXT(DATE(YEAR(H131)-(($I131/12)-3),MONTH(H131),DAY(H131)),"dd/mm/yyyy"),", ",Constants!$P$7,TEXT(DATE(YEAR(H131)-(($I131/12)-8),MONTH(H131),DAY(H131)),"dd/mm/yyyy"),", ",Constants!$T$7,TEXT(DATE(YEAR(H131)-(($I131/12)-11),MONTH(H131),DAY(H131)),"dd/mm/yyyy"),", ",Constants!$V$7,TEXT(DATE(YEAR(H131)-(($I131/12)-13),MONTH(H131),DAY(H131)),"dd/mm/yyyy"),", ",Constants!$W$7,TEXT($H131,"dd/mm/yyyy")),IF(($I131/12)=10,_xlfn.CONCAT(Constants!$N$6,TEXT(DATE(YEAR(H131)-(($I131/12)-2),MONTH(H131),DAY(H131)),"dd/mm/yyyy"),", ",Constants!$P$6,TEXT(DATE(YEAR(H131)-(($I131/12)-6),MONTH(H131),DAY(H131)),"dd/mm/yyyy"),", ",Constants!$T$6,TEXT(DATE(YEAR(H131)-(($I131/12)-8),MONTH(H131),DAY(H131)),"dd/mm/yyyy"),", ",Constants!$V$6,TEXT(DATE(YEAR(H131)-(($I131/12)-9),MONTH(H131),DAY(H131)),"dd/mm/yyyy"),", ",Constants!$W$6,TEXT($H131,"dd/mm/yyyy")),IF(($I131/12)=5,_xlfn.CONCAT(Constants!$N$5,TEXT(DATE(YEAR(H131)-(($I131/12)-1),MONTH(H131),DAY(H131)),"dd/mm/yyyy"),", ",Constants!$O$5,TEXT(DATE(YEAR(H131)-(($I131/12)-2),MONTH(H131),DAY(H131)),"dd/mm/yyyy"),", ",Constants!$P$5,TEXT(DATE(YEAR(H131)-(($I131/12)-3),MONTH(H131),DAY(H131)),"dd/mm/yyyy"),", ",Constants!$Q$5,TEXT(DATE(YEAR(H131)-(($I131/12)-4),MONTH(H131),DAY(H131)),"dd/mm/yyyy"),", ",Constants!$R$5,TEXT($H131,"dd/mm/yyyy")),IF(($I131/12)=3,_xlfn.CONCAT(Constants!$N$4,TEXT(DATE(YEAR(H131)-(($I131/12)-1),MONTH(H131),DAY(H131)),"dd/mm/yyyy"),", ",Constants!$O$4,TEXT(DATE(YEAR(H131)-(($I131/12)-2),MONTH(H131),DAY(H131)),"dd/mm/yyyy"),", ",Constants!$P$4,TEXT($H131,"dd/mm/yyyy")),IF(($I131/12)=2,_xlfn.CONCAT(Constants!$N$3,TEXT(DATE(YEAR(H131)-(($I131/12)-1),MONTH(H131),DAY(H131)),"dd/mm/yyyy"),", ",Constants!$O$3,TEXT($H131,"dd/mm/yyyy")),IF(($I131/12)=1,_xlfn.CONCAT(Constants!$N$2,TEXT($H131,"dd/mm/yyyy")),"Update Constants"))))))),"")</f>
        <v/>
      </c>
      <c r="BC131" s="147" t="str">
        <f>_xlfn.IFNA(VALUE(INDEX(Producer!$K:$K,MATCH($D131,Producer!$A:$A,0))),"")</f>
        <v/>
      </c>
      <c r="BD131" s="147" t="str">
        <f>_xlfn.IFNA(INDEX(Producer!$I:$I,MATCH($D131,Producer!$A:$A,0)),"")</f>
        <v/>
      </c>
      <c r="BE131" s="147" t="str">
        <f t="shared" ref="BE131:BE194" si="64">IF(B131="","","Yes")</f>
        <v/>
      </c>
      <c r="BF131" s="147"/>
      <c r="BG131" s="147"/>
      <c r="BH131" s="151" t="str">
        <f>_xlfn.IFNA(INDEX(Constants!$B:$B,MATCH(BC131,Constants!A:A,0)),"")</f>
        <v/>
      </c>
      <c r="BI131" s="147" t="str">
        <f>IF(LEFT(B131,15)="Limited Company",Constants!$D$16,IFERROR(_xlfn.IFNA(IF(C131="Residential",IF(BK131&lt;75,INDEX(Constants!$B:$B,MATCH(VALUE(60)/100,Constants!$A:$A,0)),INDEX(Constants!$B:$B,MATCH(VALUE(BK131)/100,Constants!$A:$A,0))),IF(BK131&lt;60,INDEX(Constants!$C:$C,MATCH(VALUE(60)/100,Constants!$A:$A,0)),INDEX(Constants!$C:$C,MATCH(VALUE(BK131)/100,Constants!$A:$A,0)))),""),""))</f>
        <v/>
      </c>
      <c r="BJ131" s="147" t="str">
        <f t="shared" ref="BJ131:BJ194" si="65">IF(B131="","",0)</f>
        <v/>
      </c>
      <c r="BK131" s="147" t="str">
        <f>_xlfn.IFNA(VALUE(INDEX(Producer!$E:$E,MATCH($D131,Producer!$A:$A,0)))*100,"")</f>
        <v/>
      </c>
      <c r="BL131" s="146" t="str">
        <f>_xlfn.IFNA(IF(IFERROR(FIND("Part &amp; Part",B131),-10)&gt;0,"PP",IF(OR(LEFT(B131,25)="Residential Interest Only",INDEX(Producer!$P:$P,MATCH($D131,Producer!$A:$A,0))="IO",INDEX(Producer!$P:$P,MATCH($D131,Producer!$A:$A,0))="Retirement Interest Only"),"IO",IF($C131="BuyToLet","CI, IO","CI"))),"")</f>
        <v/>
      </c>
      <c r="BM131" s="152" t="str">
        <f>_xlfn.IFNA(IF(BL131="IO",100%,IF(AND(INDEX(Producer!$P:$P,MATCH($D131,Producer!$A:$A,0))="Residential Interest Only Part &amp; Part",BK131=75),80%,IF(C131="BuyToLet",100%,IF(BL131="Interest Only",100%,IF(AND(INDEX(Producer!$P:$P,MATCH($D131,Producer!$A:$A,0))="Residential Interest Only Part &amp; Part",BK131=60),100%,""))))),"")</f>
        <v/>
      </c>
      <c r="BN131" s="218" t="str">
        <f>_xlfn.IFNA(IF(VALUE(INDEX(Producer!$H:$H,MATCH($D131,Producer!$A:$A,0)))=0,"",VALUE(INDEX(Producer!$H:$H,MATCH($D131,Producer!$A:$A,0)))),"")</f>
        <v/>
      </c>
      <c r="BO131" s="153"/>
      <c r="BP131" s="153"/>
      <c r="BQ131" s="219" t="str">
        <f t="shared" ref="BQ131:BQ194" si="66">IF(D131="","",35)</f>
        <v/>
      </c>
      <c r="BR131" s="146"/>
      <c r="BS131" s="146"/>
      <c r="BT131" s="146"/>
      <c r="BU131" s="146"/>
      <c r="BV131" s="219" t="str">
        <f t="shared" ref="BV131:BV194" si="67">IF(A131="","",199)</f>
        <v/>
      </c>
      <c r="BW131" s="146"/>
      <c r="BX131" s="146"/>
      <c r="BY131" s="146" t="str">
        <f t="shared" ref="BY131:BY194" si="68">IF(D131="","",IF(C131="BuyToLet","No","No"))</f>
        <v/>
      </c>
      <c r="BZ131" s="146" t="str">
        <f t="shared" ref="BZ131:BZ194" si="69">IF(D131="","","No")</f>
        <v/>
      </c>
      <c r="CA131" s="146" t="str">
        <f t="shared" ref="CA131:CA194" si="70">IF(D131="","",IF(LEFT(B131,12)="Second Homes","Only Available","No"))</f>
        <v/>
      </c>
      <c r="CB131" s="146" t="str">
        <f t="shared" ref="CB131:CB194" si="71">IF(D131="","","No")</f>
        <v/>
      </c>
      <c r="CC131" s="146" t="str">
        <f>_xlfn.IFNA(IF(INDEX(Producer!$P:$P,MATCH($D131,Producer!$A:$A,0))="Help to Buy","Only available","No"),"")</f>
        <v/>
      </c>
      <c r="CD131" s="146" t="str">
        <f>_xlfn.IFNA(IF(INDEX(Producer!$P:$P,MATCH($D131,Producer!$A:$A,0))="Shared Ownership","Only available","No"),"")</f>
        <v/>
      </c>
      <c r="CE131" s="146" t="str">
        <f>_xlfn.IFNA(IF(INDEX(Producer!$P:$P,MATCH($D131,Producer!$A:$A,0))="Right to Buy","Only available","No"),"")</f>
        <v/>
      </c>
      <c r="CF131" s="146" t="str">
        <f t="shared" ref="CF131:CF194" si="72">IF(D131="","","No")</f>
        <v/>
      </c>
      <c r="CG131" s="146" t="str">
        <f>_xlfn.IFNA(IF(INDEX(Producer!$P:$P,MATCH($D131,Producer!$A:$A,0))="Retirement Interest Only","Only available","No"),"")</f>
        <v/>
      </c>
      <c r="CH131" s="146" t="str">
        <f t="shared" ref="CH131:CH194" si="73">IF(B131="","",IF(LEFT(B131,15)="Limited Company","Only available","No"))</f>
        <v/>
      </c>
      <c r="CI131" s="146" t="str">
        <f>_xlfn.IFNA(IF(INDEX(Producer!$P:$P,MATCH($D131,Producer!$A:$A,0))="Intermediary Holiday Let","Only available","No"),"")</f>
        <v/>
      </c>
      <c r="CJ131" s="146" t="str">
        <f t="shared" ref="CJ131:CJ194" si="74">IF(D131="","","No")</f>
        <v/>
      </c>
      <c r="CK131" s="146" t="str">
        <f>_xlfn.IFNA(IF(OR(INDEX(Producer!$P:$P,MATCH($D131,Producer!$A:$A,0))="Intermediary Small HMO",INDEX(Producer!$P:$P,MATCH($D131,Producer!$A:$A,0))="Intermediary Large HMO"),"Only available","No"),"")</f>
        <v/>
      </c>
      <c r="CL131" s="146" t="str">
        <f t="shared" ref="CL131:CL194" si="75">IF(D131="","",IF(AND(LEFT(B131,15)&lt;&gt;"Limited Company",C131="BuyToLet"),"Also available","No"))</f>
        <v/>
      </c>
      <c r="CM131" s="146" t="str">
        <f t="shared" ref="CM131:CM194" si="76">IF(B131="","",IF(LEFT(B131,26)="Intermediary Portfolio BTL","Only available",IF(OR(LEFT(B131,18)="Intermediary Large",LEFT(B131,18)="Intermediary Small",LEFT(B131,20)="Intermediary Holiday",LEFT(B131,15)="Limited Company"),"Also available","No")))</f>
        <v/>
      </c>
      <c r="CN131" s="146" t="str">
        <f t="shared" ref="CN131:CN194" si="77">IF(D131="","","No")</f>
        <v/>
      </c>
      <c r="CO131" s="146" t="str">
        <f t="shared" ref="CO131:CO194" si="78">IF(A131="","",IF(AND(C131="Residential",BK131&lt;95),"Also available",IF(AND(C131="BuyToLet",BK131&lt;80),"Also available","No")))</f>
        <v/>
      </c>
      <c r="CP131" s="146" t="str">
        <f t="shared" ref="CP131:CP194" si="79">IF(B131="","",IF(LEFT(B131,13)="Shared Equity","Only available","No"))</f>
        <v/>
      </c>
      <c r="CQ131" s="146" t="str">
        <f t="shared" ref="CQ131:CQ194" si="80">IF(B131="","","No")</f>
        <v/>
      </c>
      <c r="CR131" s="146" t="str">
        <f t="shared" ref="CR131:CR194" si="81">IF(B131="","",IF(IFERROR(FIND("Green",B131),-10)&gt;0,"Only available","Also available"))</f>
        <v/>
      </c>
      <c r="CS131" s="146" t="str">
        <f t="shared" ref="CS131:CS194" si="82">IF(B131="","","Only available")</f>
        <v/>
      </c>
      <c r="CT131" s="146" t="str">
        <f t="shared" ref="CT131:CT194" si="83">IF(B131="","","No")</f>
        <v/>
      </c>
      <c r="CU131" s="146"/>
    </row>
    <row r="132" spans="1:99" ht="16.399999999999999" customHeight="1" x14ac:dyDescent="0.35">
      <c r="A132" s="145" t="str">
        <f t="shared" si="56"/>
        <v/>
      </c>
      <c r="B132" s="145" t="str">
        <f>_xlfn.IFNA(_xlfn.CONCAT(INDEX(Producer!$P:$P,MATCH($D132,Producer!$A:$A,0))," ",IF(INDEX(Producer!$N:$N,MATCH($D132,Producer!$A:$A,0))="Yes","Green ",""),IF(AND(INDEX(Producer!$L:$L,MATCH($D132,Producer!$A:$A,0))="No",INDEX(Producer!$C:$C,MATCH($D132,Producer!$A:$A,0))="Fixed"),"Flexit ",""),INDEX(Producer!$B:$B,MATCH($D132,Producer!$A:$A,0))," Year ",INDEX(Producer!$C:$C,MATCH($D132,Producer!$A:$A,0))," ",VALUE(INDEX(Producer!$E:$E,MATCH($D132,Producer!$A:$A,0)))*100,"% LTV",IF(INDEX(Producer!$N:$N,MATCH($D132,Producer!$A:$A,0))="Yes"," (EPC A-C)","")," - ",IF(INDEX(Producer!$D:$D,MATCH($D132,Producer!$A:$A,0))="DLY","Daily","Annual")),"")</f>
        <v/>
      </c>
      <c r="C132" s="146" t="str">
        <f>_xlfn.IFNA(INDEX(Producer!$Q:$Q,MATCH($D132,Producer!$A:$A,0)),"")</f>
        <v/>
      </c>
      <c r="D132" s="146" t="str">
        <f>IFERROR(VALUE(MID(Producer!$R$2,IF($D131="",1/0,FIND(_xlfn.CONCAT($D130,$D131),Producer!$R$2)+10),5)),"")</f>
        <v/>
      </c>
      <c r="E132" s="146" t="str">
        <f t="shared" si="57"/>
        <v/>
      </c>
      <c r="F132" s="146"/>
      <c r="G132" s="147" t="str">
        <f>_xlfn.IFNA(VALUE(INDEX(Producer!$F:$F,MATCH($D132,Producer!$A:$A,0)))*100,"")</f>
        <v/>
      </c>
      <c r="H132" s="216" t="str">
        <f>_xlfn.IFNA(IFERROR(DATEVALUE(INDEX(Producer!$M:$M,MATCH($D132,Producer!$A:$A,0))),(INDEX(Producer!$M:$M,MATCH($D132,Producer!$A:$A,0)))),"")</f>
        <v/>
      </c>
      <c r="I132" s="217" t="str">
        <f>_xlfn.IFNA(VALUE(INDEX(Producer!$B:$B,MATCH($D132,Producer!$A:$A,0)))*12,"")</f>
        <v/>
      </c>
      <c r="J132" s="146" t="str">
        <f>_xlfn.IFNA(IF(C132="Residential",IF(VALUE(INDEX(Producer!$B:$B,MATCH($D132,Producer!$A:$A,0)))&lt;5,Constants!$C$10,""),IF(VALUE(INDEX(Producer!$B:$B,MATCH($D132,Producer!$A:$A,0)))&lt;5,Constants!$C$11,"")),"")</f>
        <v/>
      </c>
      <c r="K132" s="216" t="str">
        <f>_xlfn.IFNA(IF(($I132)&lt;60,DATE(YEAR(H132)+(5-VALUE(INDEX(Producer!$B:$B,MATCH($D132,Producer!$A:$A,0)))),MONTH(H132),DAY(H132)),""),"")</f>
        <v/>
      </c>
      <c r="L132" s="153" t="str">
        <f t="shared" si="58"/>
        <v/>
      </c>
      <c r="M132" s="146"/>
      <c r="N132" s="148"/>
      <c r="O132" s="148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 t="str">
        <f>IF(D132="","",IF(C132="Residential",Constants!$B$10,Constants!$B$11))</f>
        <v/>
      </c>
      <c r="AL132" s="146" t="str">
        <f t="shared" si="59"/>
        <v/>
      </c>
      <c r="AM132" s="206" t="str">
        <f t="shared" si="60"/>
        <v/>
      </c>
      <c r="AN132" s="146" t="str">
        <f t="shared" si="61"/>
        <v/>
      </c>
      <c r="AO132" s="149" t="str">
        <f t="shared" si="62"/>
        <v/>
      </c>
      <c r="AP132" s="150" t="str">
        <f t="shared" si="63"/>
        <v/>
      </c>
      <c r="AQ132" s="146" t="str">
        <f>IFERROR(_xlfn.IFNA(IF($BA132="No",0,IF(INDEX(Constants!B:B,MATCH(($I132/12),Constants!$A:$A,0))=0,0,INDEX(Constants!B:B,MATCH(($I132/12),Constants!$A:$A,0)))),0),"")</f>
        <v/>
      </c>
      <c r="AR132" s="146" t="str">
        <f>IFERROR(_xlfn.IFNA(IF($BA132="No",0,IF(INDEX(Constants!C:C,MATCH(($I132/12),Constants!$A:$A,0))=0,0,INDEX(Constants!C:C,MATCH(($I132/12),Constants!$A:$A,0)))),0),"")</f>
        <v/>
      </c>
      <c r="AS132" s="146" t="str">
        <f>IFERROR(_xlfn.IFNA(IF($BA132="No",0,IF(INDEX(Constants!D:D,MATCH(($I132/12),Constants!$A:$A,0))=0,0,INDEX(Constants!D:D,MATCH(($I132/12),Constants!$A:$A,0)))),0),"")</f>
        <v/>
      </c>
      <c r="AT132" s="146" t="str">
        <f>IFERROR(_xlfn.IFNA(IF($BA132="No",0,IF(INDEX(Constants!E:E,MATCH(($I132/12),Constants!$A:$A,0))=0,0,INDEX(Constants!E:E,MATCH(($I132/12),Constants!$A:$A,0)))),0),"")</f>
        <v/>
      </c>
      <c r="AU132" s="146" t="str">
        <f>IFERROR(_xlfn.IFNA(IF($BA132="No",0,IF(INDEX(Constants!F:F,MATCH(($I132/12),Constants!$A:$A,0))=0,0,INDEX(Constants!F:F,MATCH(($I132/12),Constants!$A:$A,0)))),0),"")</f>
        <v/>
      </c>
      <c r="AV132" s="146" t="str">
        <f>IFERROR(_xlfn.IFNA(IF($BA132="No",0,IF(INDEX(Constants!G:G,MATCH(($I132/12),Constants!$A:$A,0))=0,0,INDEX(Constants!G:G,MATCH(($I132/12),Constants!$A:$A,0)))),0),"")</f>
        <v/>
      </c>
      <c r="AW132" s="146" t="str">
        <f>IFERROR(_xlfn.IFNA(IF($BA132="No",0,IF(INDEX(Constants!H:H,MATCH(($I132/12),Constants!$A:$A,0))=0,0,INDEX(Constants!H:H,MATCH(($I132/12),Constants!$A:$A,0)))),0),"")</f>
        <v/>
      </c>
      <c r="AX132" s="146" t="str">
        <f>IFERROR(_xlfn.IFNA(IF($BA132="No",0,IF(INDEX(Constants!I:I,MATCH(($I132/12),Constants!$A:$A,0))=0,0,INDEX(Constants!I:I,MATCH(($I132/12),Constants!$A:$A,0)))),0),"")</f>
        <v/>
      </c>
      <c r="AY132" s="146" t="str">
        <f>IFERROR(_xlfn.IFNA(IF($BA132="No",0,IF(INDEX(Constants!J:J,MATCH(($I132/12),Constants!$A:$A,0))=0,0,INDEX(Constants!J:J,MATCH(($I132/12),Constants!$A:$A,0)))),0),"")</f>
        <v/>
      </c>
      <c r="AZ132" s="146" t="str">
        <f>IFERROR(_xlfn.IFNA(IF($BA132="No",0,IF(INDEX(Constants!K:K,MATCH(($I132/12),Constants!$A:$A,0))=0,0,INDEX(Constants!K:K,MATCH(($I132/12),Constants!$A:$A,0)))),0),"")</f>
        <v/>
      </c>
      <c r="BA132" s="147" t="str">
        <f>_xlfn.IFNA(INDEX(Producer!$L:$L,MATCH($D132,Producer!$A:$A,0)),"")</f>
        <v/>
      </c>
      <c r="BB132" s="146" t="str">
        <f>IFERROR(IF(AQ132=0,"",IF(($I132/12)=15,_xlfn.CONCAT(Constants!$N$7,TEXT(DATE(YEAR(H132)-(($I132/12)-3),MONTH(H132),DAY(H132)),"dd/mm/yyyy"),", ",Constants!$P$7,TEXT(DATE(YEAR(H132)-(($I132/12)-8),MONTH(H132),DAY(H132)),"dd/mm/yyyy"),", ",Constants!$T$7,TEXT(DATE(YEAR(H132)-(($I132/12)-11),MONTH(H132),DAY(H132)),"dd/mm/yyyy"),", ",Constants!$V$7,TEXT(DATE(YEAR(H132)-(($I132/12)-13),MONTH(H132),DAY(H132)),"dd/mm/yyyy"),", ",Constants!$W$7,TEXT($H132,"dd/mm/yyyy")),IF(($I132/12)=10,_xlfn.CONCAT(Constants!$N$6,TEXT(DATE(YEAR(H132)-(($I132/12)-2),MONTH(H132),DAY(H132)),"dd/mm/yyyy"),", ",Constants!$P$6,TEXT(DATE(YEAR(H132)-(($I132/12)-6),MONTH(H132),DAY(H132)),"dd/mm/yyyy"),", ",Constants!$T$6,TEXT(DATE(YEAR(H132)-(($I132/12)-8),MONTH(H132),DAY(H132)),"dd/mm/yyyy"),", ",Constants!$V$6,TEXT(DATE(YEAR(H132)-(($I132/12)-9),MONTH(H132),DAY(H132)),"dd/mm/yyyy"),", ",Constants!$W$6,TEXT($H132,"dd/mm/yyyy")),IF(($I132/12)=5,_xlfn.CONCAT(Constants!$N$5,TEXT(DATE(YEAR(H132)-(($I132/12)-1),MONTH(H132),DAY(H132)),"dd/mm/yyyy"),", ",Constants!$O$5,TEXT(DATE(YEAR(H132)-(($I132/12)-2),MONTH(H132),DAY(H132)),"dd/mm/yyyy"),", ",Constants!$P$5,TEXT(DATE(YEAR(H132)-(($I132/12)-3),MONTH(H132),DAY(H132)),"dd/mm/yyyy"),", ",Constants!$Q$5,TEXT(DATE(YEAR(H132)-(($I132/12)-4),MONTH(H132),DAY(H132)),"dd/mm/yyyy"),", ",Constants!$R$5,TEXT($H132,"dd/mm/yyyy")),IF(($I132/12)=3,_xlfn.CONCAT(Constants!$N$4,TEXT(DATE(YEAR(H132)-(($I132/12)-1),MONTH(H132),DAY(H132)),"dd/mm/yyyy"),", ",Constants!$O$4,TEXT(DATE(YEAR(H132)-(($I132/12)-2),MONTH(H132),DAY(H132)),"dd/mm/yyyy"),", ",Constants!$P$4,TEXT($H132,"dd/mm/yyyy")),IF(($I132/12)=2,_xlfn.CONCAT(Constants!$N$3,TEXT(DATE(YEAR(H132)-(($I132/12)-1),MONTH(H132),DAY(H132)),"dd/mm/yyyy"),", ",Constants!$O$3,TEXT($H132,"dd/mm/yyyy")),IF(($I132/12)=1,_xlfn.CONCAT(Constants!$N$2,TEXT($H132,"dd/mm/yyyy")),"Update Constants"))))))),"")</f>
        <v/>
      </c>
      <c r="BC132" s="147" t="str">
        <f>_xlfn.IFNA(VALUE(INDEX(Producer!$K:$K,MATCH($D132,Producer!$A:$A,0))),"")</f>
        <v/>
      </c>
      <c r="BD132" s="147" t="str">
        <f>_xlfn.IFNA(INDEX(Producer!$I:$I,MATCH($D132,Producer!$A:$A,0)),"")</f>
        <v/>
      </c>
      <c r="BE132" s="147" t="str">
        <f t="shared" si="64"/>
        <v/>
      </c>
      <c r="BF132" s="147"/>
      <c r="BG132" s="147"/>
      <c r="BH132" s="151" t="str">
        <f>_xlfn.IFNA(INDEX(Constants!$B:$B,MATCH(BC132,Constants!A:A,0)),"")</f>
        <v/>
      </c>
      <c r="BI132" s="147" t="str">
        <f>IF(LEFT(B132,15)="Limited Company",Constants!$D$16,IFERROR(_xlfn.IFNA(IF(C132="Residential",IF(BK132&lt;75,INDEX(Constants!$B:$B,MATCH(VALUE(60)/100,Constants!$A:$A,0)),INDEX(Constants!$B:$B,MATCH(VALUE(BK132)/100,Constants!$A:$A,0))),IF(BK132&lt;60,INDEX(Constants!$C:$C,MATCH(VALUE(60)/100,Constants!$A:$A,0)),INDEX(Constants!$C:$C,MATCH(VALUE(BK132)/100,Constants!$A:$A,0)))),""),""))</f>
        <v/>
      </c>
      <c r="BJ132" s="147" t="str">
        <f t="shared" si="65"/>
        <v/>
      </c>
      <c r="BK132" s="147" t="str">
        <f>_xlfn.IFNA(VALUE(INDEX(Producer!$E:$E,MATCH($D132,Producer!$A:$A,0)))*100,"")</f>
        <v/>
      </c>
      <c r="BL132" s="146" t="str">
        <f>_xlfn.IFNA(IF(IFERROR(FIND("Part &amp; Part",B132),-10)&gt;0,"PP",IF(OR(LEFT(B132,25)="Residential Interest Only",INDEX(Producer!$P:$P,MATCH($D132,Producer!$A:$A,0))="IO",INDEX(Producer!$P:$P,MATCH($D132,Producer!$A:$A,0))="Retirement Interest Only"),"IO",IF($C132="BuyToLet","CI, IO","CI"))),"")</f>
        <v/>
      </c>
      <c r="BM132" s="152" t="str">
        <f>_xlfn.IFNA(IF(BL132="IO",100%,IF(AND(INDEX(Producer!$P:$P,MATCH($D132,Producer!$A:$A,0))="Residential Interest Only Part &amp; Part",BK132=75),80%,IF(C132="BuyToLet",100%,IF(BL132="Interest Only",100%,IF(AND(INDEX(Producer!$P:$P,MATCH($D132,Producer!$A:$A,0))="Residential Interest Only Part &amp; Part",BK132=60),100%,""))))),"")</f>
        <v/>
      </c>
      <c r="BN132" s="218" t="str">
        <f>_xlfn.IFNA(IF(VALUE(INDEX(Producer!$H:$H,MATCH($D132,Producer!$A:$A,0)))=0,"",VALUE(INDEX(Producer!$H:$H,MATCH($D132,Producer!$A:$A,0)))),"")</f>
        <v/>
      </c>
      <c r="BO132" s="153"/>
      <c r="BP132" s="153"/>
      <c r="BQ132" s="219" t="str">
        <f t="shared" si="66"/>
        <v/>
      </c>
      <c r="BR132" s="146"/>
      <c r="BS132" s="146"/>
      <c r="BT132" s="146"/>
      <c r="BU132" s="146"/>
      <c r="BV132" s="219" t="str">
        <f t="shared" si="67"/>
        <v/>
      </c>
      <c r="BW132" s="146"/>
      <c r="BX132" s="146"/>
      <c r="BY132" s="146" t="str">
        <f t="shared" si="68"/>
        <v/>
      </c>
      <c r="BZ132" s="146" t="str">
        <f t="shared" si="69"/>
        <v/>
      </c>
      <c r="CA132" s="146" t="str">
        <f t="shared" si="70"/>
        <v/>
      </c>
      <c r="CB132" s="146" t="str">
        <f t="shared" si="71"/>
        <v/>
      </c>
      <c r="CC132" s="146" t="str">
        <f>_xlfn.IFNA(IF(INDEX(Producer!$P:$P,MATCH($D132,Producer!$A:$A,0))="Help to Buy","Only available","No"),"")</f>
        <v/>
      </c>
      <c r="CD132" s="146" t="str">
        <f>_xlfn.IFNA(IF(INDEX(Producer!$P:$P,MATCH($D132,Producer!$A:$A,0))="Shared Ownership","Only available","No"),"")</f>
        <v/>
      </c>
      <c r="CE132" s="146" t="str">
        <f>_xlfn.IFNA(IF(INDEX(Producer!$P:$P,MATCH($D132,Producer!$A:$A,0))="Right to Buy","Only available","No"),"")</f>
        <v/>
      </c>
      <c r="CF132" s="146" t="str">
        <f t="shared" si="72"/>
        <v/>
      </c>
      <c r="CG132" s="146" t="str">
        <f>_xlfn.IFNA(IF(INDEX(Producer!$P:$P,MATCH($D132,Producer!$A:$A,0))="Retirement Interest Only","Only available","No"),"")</f>
        <v/>
      </c>
      <c r="CH132" s="146" t="str">
        <f t="shared" si="73"/>
        <v/>
      </c>
      <c r="CI132" s="146" t="str">
        <f>_xlfn.IFNA(IF(INDEX(Producer!$P:$P,MATCH($D132,Producer!$A:$A,0))="Intermediary Holiday Let","Only available","No"),"")</f>
        <v/>
      </c>
      <c r="CJ132" s="146" t="str">
        <f t="shared" si="74"/>
        <v/>
      </c>
      <c r="CK132" s="146" t="str">
        <f>_xlfn.IFNA(IF(OR(INDEX(Producer!$P:$P,MATCH($D132,Producer!$A:$A,0))="Intermediary Small HMO",INDEX(Producer!$P:$P,MATCH($D132,Producer!$A:$A,0))="Intermediary Large HMO"),"Only available","No"),"")</f>
        <v/>
      </c>
      <c r="CL132" s="146" t="str">
        <f t="shared" si="75"/>
        <v/>
      </c>
      <c r="CM132" s="146" t="str">
        <f t="shared" si="76"/>
        <v/>
      </c>
      <c r="CN132" s="146" t="str">
        <f t="shared" si="77"/>
        <v/>
      </c>
      <c r="CO132" s="146" t="str">
        <f t="shared" si="78"/>
        <v/>
      </c>
      <c r="CP132" s="146" t="str">
        <f t="shared" si="79"/>
        <v/>
      </c>
      <c r="CQ132" s="146" t="str">
        <f t="shared" si="80"/>
        <v/>
      </c>
      <c r="CR132" s="146" t="str">
        <f t="shared" si="81"/>
        <v/>
      </c>
      <c r="CS132" s="146" t="str">
        <f t="shared" si="82"/>
        <v/>
      </c>
      <c r="CT132" s="146" t="str">
        <f t="shared" si="83"/>
        <v/>
      </c>
      <c r="CU132" s="146"/>
    </row>
    <row r="133" spans="1:99" ht="16.399999999999999" customHeight="1" x14ac:dyDescent="0.35">
      <c r="A133" s="145" t="str">
        <f t="shared" si="56"/>
        <v/>
      </c>
      <c r="B133" s="145" t="str">
        <f>_xlfn.IFNA(_xlfn.CONCAT(INDEX(Producer!$P:$P,MATCH($D133,Producer!$A:$A,0))," ",IF(INDEX(Producer!$N:$N,MATCH($D133,Producer!$A:$A,0))="Yes","Green ",""),IF(AND(INDEX(Producer!$L:$L,MATCH($D133,Producer!$A:$A,0))="No",INDEX(Producer!$C:$C,MATCH($D133,Producer!$A:$A,0))="Fixed"),"Flexit ",""),INDEX(Producer!$B:$B,MATCH($D133,Producer!$A:$A,0))," Year ",INDEX(Producer!$C:$C,MATCH($D133,Producer!$A:$A,0))," ",VALUE(INDEX(Producer!$E:$E,MATCH($D133,Producer!$A:$A,0)))*100,"% LTV",IF(INDEX(Producer!$N:$N,MATCH($D133,Producer!$A:$A,0))="Yes"," (EPC A-C)","")," - ",IF(INDEX(Producer!$D:$D,MATCH($D133,Producer!$A:$A,0))="DLY","Daily","Annual")),"")</f>
        <v/>
      </c>
      <c r="C133" s="146" t="str">
        <f>_xlfn.IFNA(INDEX(Producer!$Q:$Q,MATCH($D133,Producer!$A:$A,0)),"")</f>
        <v/>
      </c>
      <c r="D133" s="146" t="str">
        <f>IFERROR(VALUE(MID(Producer!$R$2,IF($D132="",1/0,FIND(_xlfn.CONCAT($D131,$D132),Producer!$R$2)+10),5)),"")</f>
        <v/>
      </c>
      <c r="E133" s="146" t="str">
        <f t="shared" si="57"/>
        <v/>
      </c>
      <c r="F133" s="146"/>
      <c r="G133" s="147" t="str">
        <f>_xlfn.IFNA(VALUE(INDEX(Producer!$F:$F,MATCH($D133,Producer!$A:$A,0)))*100,"")</f>
        <v/>
      </c>
      <c r="H133" s="216" t="str">
        <f>_xlfn.IFNA(IFERROR(DATEVALUE(INDEX(Producer!$M:$M,MATCH($D133,Producer!$A:$A,0))),(INDEX(Producer!$M:$M,MATCH($D133,Producer!$A:$A,0)))),"")</f>
        <v/>
      </c>
      <c r="I133" s="217" t="str">
        <f>_xlfn.IFNA(VALUE(INDEX(Producer!$B:$B,MATCH($D133,Producer!$A:$A,0)))*12,"")</f>
        <v/>
      </c>
      <c r="J133" s="146" t="str">
        <f>_xlfn.IFNA(IF(C133="Residential",IF(VALUE(INDEX(Producer!$B:$B,MATCH($D133,Producer!$A:$A,0)))&lt;5,Constants!$C$10,""),IF(VALUE(INDEX(Producer!$B:$B,MATCH($D133,Producer!$A:$A,0)))&lt;5,Constants!$C$11,"")),"")</f>
        <v/>
      </c>
      <c r="K133" s="216" t="str">
        <f>_xlfn.IFNA(IF(($I133)&lt;60,DATE(YEAR(H133)+(5-VALUE(INDEX(Producer!$B:$B,MATCH($D133,Producer!$A:$A,0)))),MONTH(H133),DAY(H133)),""),"")</f>
        <v/>
      </c>
      <c r="L133" s="153" t="str">
        <f t="shared" si="58"/>
        <v/>
      </c>
      <c r="M133" s="146"/>
      <c r="N133" s="148"/>
      <c r="O133" s="148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 t="str">
        <f>IF(D133="","",IF(C133="Residential",Constants!$B$10,Constants!$B$11))</f>
        <v/>
      </c>
      <c r="AL133" s="146" t="str">
        <f t="shared" si="59"/>
        <v/>
      </c>
      <c r="AM133" s="206" t="str">
        <f t="shared" si="60"/>
        <v/>
      </c>
      <c r="AN133" s="146" t="str">
        <f t="shared" si="61"/>
        <v/>
      </c>
      <c r="AO133" s="149" t="str">
        <f t="shared" si="62"/>
        <v/>
      </c>
      <c r="AP133" s="150" t="str">
        <f t="shared" si="63"/>
        <v/>
      </c>
      <c r="AQ133" s="146" t="str">
        <f>IFERROR(_xlfn.IFNA(IF($BA133="No",0,IF(INDEX(Constants!B:B,MATCH(($I133/12),Constants!$A:$A,0))=0,0,INDEX(Constants!B:B,MATCH(($I133/12),Constants!$A:$A,0)))),0),"")</f>
        <v/>
      </c>
      <c r="AR133" s="146" t="str">
        <f>IFERROR(_xlfn.IFNA(IF($BA133="No",0,IF(INDEX(Constants!C:C,MATCH(($I133/12),Constants!$A:$A,0))=0,0,INDEX(Constants!C:C,MATCH(($I133/12),Constants!$A:$A,0)))),0),"")</f>
        <v/>
      </c>
      <c r="AS133" s="146" t="str">
        <f>IFERROR(_xlfn.IFNA(IF($BA133="No",0,IF(INDEX(Constants!D:D,MATCH(($I133/12),Constants!$A:$A,0))=0,0,INDEX(Constants!D:D,MATCH(($I133/12),Constants!$A:$A,0)))),0),"")</f>
        <v/>
      </c>
      <c r="AT133" s="146" t="str">
        <f>IFERROR(_xlfn.IFNA(IF($BA133="No",0,IF(INDEX(Constants!E:E,MATCH(($I133/12),Constants!$A:$A,0))=0,0,INDEX(Constants!E:E,MATCH(($I133/12),Constants!$A:$A,0)))),0),"")</f>
        <v/>
      </c>
      <c r="AU133" s="146" t="str">
        <f>IFERROR(_xlfn.IFNA(IF($BA133="No",0,IF(INDEX(Constants!F:F,MATCH(($I133/12),Constants!$A:$A,0))=0,0,INDEX(Constants!F:F,MATCH(($I133/12),Constants!$A:$A,0)))),0),"")</f>
        <v/>
      </c>
      <c r="AV133" s="146" t="str">
        <f>IFERROR(_xlfn.IFNA(IF($BA133="No",0,IF(INDEX(Constants!G:G,MATCH(($I133/12),Constants!$A:$A,0))=0,0,INDEX(Constants!G:G,MATCH(($I133/12),Constants!$A:$A,0)))),0),"")</f>
        <v/>
      </c>
      <c r="AW133" s="146" t="str">
        <f>IFERROR(_xlfn.IFNA(IF($BA133="No",0,IF(INDEX(Constants!H:H,MATCH(($I133/12),Constants!$A:$A,0))=0,0,INDEX(Constants!H:H,MATCH(($I133/12),Constants!$A:$A,0)))),0),"")</f>
        <v/>
      </c>
      <c r="AX133" s="146" t="str">
        <f>IFERROR(_xlfn.IFNA(IF($BA133="No",0,IF(INDEX(Constants!I:I,MATCH(($I133/12),Constants!$A:$A,0))=0,0,INDEX(Constants!I:I,MATCH(($I133/12),Constants!$A:$A,0)))),0),"")</f>
        <v/>
      </c>
      <c r="AY133" s="146" t="str">
        <f>IFERROR(_xlfn.IFNA(IF($BA133="No",0,IF(INDEX(Constants!J:J,MATCH(($I133/12),Constants!$A:$A,0))=0,0,INDEX(Constants!J:J,MATCH(($I133/12),Constants!$A:$A,0)))),0),"")</f>
        <v/>
      </c>
      <c r="AZ133" s="146" t="str">
        <f>IFERROR(_xlfn.IFNA(IF($BA133="No",0,IF(INDEX(Constants!K:K,MATCH(($I133/12),Constants!$A:$A,0))=0,0,INDEX(Constants!K:K,MATCH(($I133/12),Constants!$A:$A,0)))),0),"")</f>
        <v/>
      </c>
      <c r="BA133" s="147" t="str">
        <f>_xlfn.IFNA(INDEX(Producer!$L:$L,MATCH($D133,Producer!$A:$A,0)),"")</f>
        <v/>
      </c>
      <c r="BB133" s="146" t="str">
        <f>IFERROR(IF(AQ133=0,"",IF(($I133/12)=15,_xlfn.CONCAT(Constants!$N$7,TEXT(DATE(YEAR(H133)-(($I133/12)-3),MONTH(H133),DAY(H133)),"dd/mm/yyyy"),", ",Constants!$P$7,TEXT(DATE(YEAR(H133)-(($I133/12)-8),MONTH(H133),DAY(H133)),"dd/mm/yyyy"),", ",Constants!$T$7,TEXT(DATE(YEAR(H133)-(($I133/12)-11),MONTH(H133),DAY(H133)),"dd/mm/yyyy"),", ",Constants!$V$7,TEXT(DATE(YEAR(H133)-(($I133/12)-13),MONTH(H133),DAY(H133)),"dd/mm/yyyy"),", ",Constants!$W$7,TEXT($H133,"dd/mm/yyyy")),IF(($I133/12)=10,_xlfn.CONCAT(Constants!$N$6,TEXT(DATE(YEAR(H133)-(($I133/12)-2),MONTH(H133),DAY(H133)),"dd/mm/yyyy"),", ",Constants!$P$6,TEXT(DATE(YEAR(H133)-(($I133/12)-6),MONTH(H133),DAY(H133)),"dd/mm/yyyy"),", ",Constants!$T$6,TEXT(DATE(YEAR(H133)-(($I133/12)-8),MONTH(H133),DAY(H133)),"dd/mm/yyyy"),", ",Constants!$V$6,TEXT(DATE(YEAR(H133)-(($I133/12)-9),MONTH(H133),DAY(H133)),"dd/mm/yyyy"),", ",Constants!$W$6,TEXT($H133,"dd/mm/yyyy")),IF(($I133/12)=5,_xlfn.CONCAT(Constants!$N$5,TEXT(DATE(YEAR(H133)-(($I133/12)-1),MONTH(H133),DAY(H133)),"dd/mm/yyyy"),", ",Constants!$O$5,TEXT(DATE(YEAR(H133)-(($I133/12)-2),MONTH(H133),DAY(H133)),"dd/mm/yyyy"),", ",Constants!$P$5,TEXT(DATE(YEAR(H133)-(($I133/12)-3),MONTH(H133),DAY(H133)),"dd/mm/yyyy"),", ",Constants!$Q$5,TEXT(DATE(YEAR(H133)-(($I133/12)-4),MONTH(H133),DAY(H133)),"dd/mm/yyyy"),", ",Constants!$R$5,TEXT($H133,"dd/mm/yyyy")),IF(($I133/12)=3,_xlfn.CONCAT(Constants!$N$4,TEXT(DATE(YEAR(H133)-(($I133/12)-1),MONTH(H133),DAY(H133)),"dd/mm/yyyy"),", ",Constants!$O$4,TEXT(DATE(YEAR(H133)-(($I133/12)-2),MONTH(H133),DAY(H133)),"dd/mm/yyyy"),", ",Constants!$P$4,TEXT($H133,"dd/mm/yyyy")),IF(($I133/12)=2,_xlfn.CONCAT(Constants!$N$3,TEXT(DATE(YEAR(H133)-(($I133/12)-1),MONTH(H133),DAY(H133)),"dd/mm/yyyy"),", ",Constants!$O$3,TEXT($H133,"dd/mm/yyyy")),IF(($I133/12)=1,_xlfn.CONCAT(Constants!$N$2,TEXT($H133,"dd/mm/yyyy")),"Update Constants"))))))),"")</f>
        <v/>
      </c>
      <c r="BC133" s="147" t="str">
        <f>_xlfn.IFNA(VALUE(INDEX(Producer!$K:$K,MATCH($D133,Producer!$A:$A,0))),"")</f>
        <v/>
      </c>
      <c r="BD133" s="147" t="str">
        <f>_xlfn.IFNA(INDEX(Producer!$I:$I,MATCH($D133,Producer!$A:$A,0)),"")</f>
        <v/>
      </c>
      <c r="BE133" s="147" t="str">
        <f t="shared" si="64"/>
        <v/>
      </c>
      <c r="BF133" s="147"/>
      <c r="BG133" s="147"/>
      <c r="BH133" s="151" t="str">
        <f>_xlfn.IFNA(INDEX(Constants!$B:$B,MATCH(BC133,Constants!A:A,0)),"")</f>
        <v/>
      </c>
      <c r="BI133" s="147" t="str">
        <f>IF(LEFT(B133,15)="Limited Company",Constants!$D$16,IFERROR(_xlfn.IFNA(IF(C133="Residential",IF(BK133&lt;75,INDEX(Constants!$B:$B,MATCH(VALUE(60)/100,Constants!$A:$A,0)),INDEX(Constants!$B:$B,MATCH(VALUE(BK133)/100,Constants!$A:$A,0))),IF(BK133&lt;60,INDEX(Constants!$C:$C,MATCH(VALUE(60)/100,Constants!$A:$A,0)),INDEX(Constants!$C:$C,MATCH(VALUE(BK133)/100,Constants!$A:$A,0)))),""),""))</f>
        <v/>
      </c>
      <c r="BJ133" s="147" t="str">
        <f t="shared" si="65"/>
        <v/>
      </c>
      <c r="BK133" s="147" t="str">
        <f>_xlfn.IFNA(VALUE(INDEX(Producer!$E:$E,MATCH($D133,Producer!$A:$A,0)))*100,"")</f>
        <v/>
      </c>
      <c r="BL133" s="146" t="str">
        <f>_xlfn.IFNA(IF(IFERROR(FIND("Part &amp; Part",B133),-10)&gt;0,"PP",IF(OR(LEFT(B133,25)="Residential Interest Only",INDEX(Producer!$P:$P,MATCH($D133,Producer!$A:$A,0))="IO",INDEX(Producer!$P:$P,MATCH($D133,Producer!$A:$A,0))="Retirement Interest Only"),"IO",IF($C133="BuyToLet","CI, IO","CI"))),"")</f>
        <v/>
      </c>
      <c r="BM133" s="152" t="str">
        <f>_xlfn.IFNA(IF(BL133="IO",100%,IF(AND(INDEX(Producer!$P:$P,MATCH($D133,Producer!$A:$A,0))="Residential Interest Only Part &amp; Part",BK133=75),80%,IF(C133="BuyToLet",100%,IF(BL133="Interest Only",100%,IF(AND(INDEX(Producer!$P:$P,MATCH($D133,Producer!$A:$A,0))="Residential Interest Only Part &amp; Part",BK133=60),100%,""))))),"")</f>
        <v/>
      </c>
      <c r="BN133" s="218" t="str">
        <f>_xlfn.IFNA(IF(VALUE(INDEX(Producer!$H:$H,MATCH($D133,Producer!$A:$A,0)))=0,"",VALUE(INDEX(Producer!$H:$H,MATCH($D133,Producer!$A:$A,0)))),"")</f>
        <v/>
      </c>
      <c r="BO133" s="153"/>
      <c r="BP133" s="153"/>
      <c r="BQ133" s="219" t="str">
        <f t="shared" si="66"/>
        <v/>
      </c>
      <c r="BR133" s="146"/>
      <c r="BS133" s="146"/>
      <c r="BT133" s="146"/>
      <c r="BU133" s="146"/>
      <c r="BV133" s="219" t="str">
        <f t="shared" si="67"/>
        <v/>
      </c>
      <c r="BW133" s="146"/>
      <c r="BX133" s="146"/>
      <c r="BY133" s="146" t="str">
        <f t="shared" si="68"/>
        <v/>
      </c>
      <c r="BZ133" s="146" t="str">
        <f t="shared" si="69"/>
        <v/>
      </c>
      <c r="CA133" s="146" t="str">
        <f t="shared" si="70"/>
        <v/>
      </c>
      <c r="CB133" s="146" t="str">
        <f t="shared" si="71"/>
        <v/>
      </c>
      <c r="CC133" s="146" t="str">
        <f>_xlfn.IFNA(IF(INDEX(Producer!$P:$P,MATCH($D133,Producer!$A:$A,0))="Help to Buy","Only available","No"),"")</f>
        <v/>
      </c>
      <c r="CD133" s="146" t="str">
        <f>_xlfn.IFNA(IF(INDEX(Producer!$P:$P,MATCH($D133,Producer!$A:$A,0))="Shared Ownership","Only available","No"),"")</f>
        <v/>
      </c>
      <c r="CE133" s="146" t="str">
        <f>_xlfn.IFNA(IF(INDEX(Producer!$P:$P,MATCH($D133,Producer!$A:$A,0))="Right to Buy","Only available","No"),"")</f>
        <v/>
      </c>
      <c r="CF133" s="146" t="str">
        <f t="shared" si="72"/>
        <v/>
      </c>
      <c r="CG133" s="146" t="str">
        <f>_xlfn.IFNA(IF(INDEX(Producer!$P:$P,MATCH($D133,Producer!$A:$A,0))="Retirement Interest Only","Only available","No"),"")</f>
        <v/>
      </c>
      <c r="CH133" s="146" t="str">
        <f t="shared" si="73"/>
        <v/>
      </c>
      <c r="CI133" s="146" t="str">
        <f>_xlfn.IFNA(IF(INDEX(Producer!$P:$P,MATCH($D133,Producer!$A:$A,0))="Intermediary Holiday Let","Only available","No"),"")</f>
        <v/>
      </c>
      <c r="CJ133" s="146" t="str">
        <f t="shared" si="74"/>
        <v/>
      </c>
      <c r="CK133" s="146" t="str">
        <f>_xlfn.IFNA(IF(OR(INDEX(Producer!$P:$P,MATCH($D133,Producer!$A:$A,0))="Intermediary Small HMO",INDEX(Producer!$P:$P,MATCH($D133,Producer!$A:$A,0))="Intermediary Large HMO"),"Only available","No"),"")</f>
        <v/>
      </c>
      <c r="CL133" s="146" t="str">
        <f t="shared" si="75"/>
        <v/>
      </c>
      <c r="CM133" s="146" t="str">
        <f t="shared" si="76"/>
        <v/>
      </c>
      <c r="CN133" s="146" t="str">
        <f t="shared" si="77"/>
        <v/>
      </c>
      <c r="CO133" s="146" t="str">
        <f t="shared" si="78"/>
        <v/>
      </c>
      <c r="CP133" s="146" t="str">
        <f t="shared" si="79"/>
        <v/>
      </c>
      <c r="CQ133" s="146" t="str">
        <f t="shared" si="80"/>
        <v/>
      </c>
      <c r="CR133" s="146" t="str">
        <f t="shared" si="81"/>
        <v/>
      </c>
      <c r="CS133" s="146" t="str">
        <f t="shared" si="82"/>
        <v/>
      </c>
      <c r="CT133" s="146" t="str">
        <f t="shared" si="83"/>
        <v/>
      </c>
      <c r="CU133" s="146"/>
    </row>
    <row r="134" spans="1:99" ht="16.399999999999999" customHeight="1" x14ac:dyDescent="0.35">
      <c r="A134" s="145" t="str">
        <f t="shared" si="56"/>
        <v/>
      </c>
      <c r="B134" s="145" t="str">
        <f>_xlfn.IFNA(_xlfn.CONCAT(INDEX(Producer!$P:$P,MATCH($D134,Producer!$A:$A,0))," ",IF(INDEX(Producer!$N:$N,MATCH($D134,Producer!$A:$A,0))="Yes","Green ",""),IF(AND(INDEX(Producer!$L:$L,MATCH($D134,Producer!$A:$A,0))="No",INDEX(Producer!$C:$C,MATCH($D134,Producer!$A:$A,0))="Fixed"),"Flexit ",""),INDEX(Producer!$B:$B,MATCH($D134,Producer!$A:$A,0))," Year ",INDEX(Producer!$C:$C,MATCH($D134,Producer!$A:$A,0))," ",VALUE(INDEX(Producer!$E:$E,MATCH($D134,Producer!$A:$A,0)))*100,"% LTV",IF(INDEX(Producer!$N:$N,MATCH($D134,Producer!$A:$A,0))="Yes"," (EPC A-C)","")," - ",IF(INDEX(Producer!$D:$D,MATCH($D134,Producer!$A:$A,0))="DLY","Daily","Annual")),"")</f>
        <v/>
      </c>
      <c r="C134" s="146" t="str">
        <f>_xlfn.IFNA(INDEX(Producer!$Q:$Q,MATCH($D134,Producer!$A:$A,0)),"")</f>
        <v/>
      </c>
      <c r="D134" s="146" t="str">
        <f>IFERROR(VALUE(MID(Producer!$R$2,IF($D133="",1/0,FIND(_xlfn.CONCAT($D132,$D133),Producer!$R$2)+10),5)),"")</f>
        <v/>
      </c>
      <c r="E134" s="146" t="str">
        <f t="shared" si="57"/>
        <v/>
      </c>
      <c r="F134" s="146"/>
      <c r="G134" s="147" t="str">
        <f>_xlfn.IFNA(VALUE(INDEX(Producer!$F:$F,MATCH($D134,Producer!$A:$A,0)))*100,"")</f>
        <v/>
      </c>
      <c r="H134" s="216" t="str">
        <f>_xlfn.IFNA(IFERROR(DATEVALUE(INDEX(Producer!$M:$M,MATCH($D134,Producer!$A:$A,0))),(INDEX(Producer!$M:$M,MATCH($D134,Producer!$A:$A,0)))),"")</f>
        <v/>
      </c>
      <c r="I134" s="217" t="str">
        <f>_xlfn.IFNA(VALUE(INDEX(Producer!$B:$B,MATCH($D134,Producer!$A:$A,0)))*12,"")</f>
        <v/>
      </c>
      <c r="J134" s="146" t="str">
        <f>_xlfn.IFNA(IF(C134="Residential",IF(VALUE(INDEX(Producer!$B:$B,MATCH($D134,Producer!$A:$A,0)))&lt;5,Constants!$C$10,""),IF(VALUE(INDEX(Producer!$B:$B,MATCH($D134,Producer!$A:$A,0)))&lt;5,Constants!$C$11,"")),"")</f>
        <v/>
      </c>
      <c r="K134" s="216" t="str">
        <f>_xlfn.IFNA(IF(($I134)&lt;60,DATE(YEAR(H134)+(5-VALUE(INDEX(Producer!$B:$B,MATCH($D134,Producer!$A:$A,0)))),MONTH(H134),DAY(H134)),""),"")</f>
        <v/>
      </c>
      <c r="L134" s="153" t="str">
        <f t="shared" si="58"/>
        <v/>
      </c>
      <c r="M134" s="146"/>
      <c r="N134" s="148"/>
      <c r="O134" s="148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 t="str">
        <f>IF(D134="","",IF(C134="Residential",Constants!$B$10,Constants!$B$11))</f>
        <v/>
      </c>
      <c r="AL134" s="146" t="str">
        <f t="shared" si="59"/>
        <v/>
      </c>
      <c r="AM134" s="206" t="str">
        <f t="shared" si="60"/>
        <v/>
      </c>
      <c r="AN134" s="146" t="str">
        <f t="shared" si="61"/>
        <v/>
      </c>
      <c r="AO134" s="149" t="str">
        <f t="shared" si="62"/>
        <v/>
      </c>
      <c r="AP134" s="150" t="str">
        <f t="shared" si="63"/>
        <v/>
      </c>
      <c r="AQ134" s="146" t="str">
        <f>IFERROR(_xlfn.IFNA(IF($BA134="No",0,IF(INDEX(Constants!B:B,MATCH(($I134/12),Constants!$A:$A,0))=0,0,INDEX(Constants!B:B,MATCH(($I134/12),Constants!$A:$A,0)))),0),"")</f>
        <v/>
      </c>
      <c r="AR134" s="146" t="str">
        <f>IFERROR(_xlfn.IFNA(IF($BA134="No",0,IF(INDEX(Constants!C:C,MATCH(($I134/12),Constants!$A:$A,0))=0,0,INDEX(Constants!C:C,MATCH(($I134/12),Constants!$A:$A,0)))),0),"")</f>
        <v/>
      </c>
      <c r="AS134" s="146" t="str">
        <f>IFERROR(_xlfn.IFNA(IF($BA134="No",0,IF(INDEX(Constants!D:D,MATCH(($I134/12),Constants!$A:$A,0))=0,0,INDEX(Constants!D:D,MATCH(($I134/12),Constants!$A:$A,0)))),0),"")</f>
        <v/>
      </c>
      <c r="AT134" s="146" t="str">
        <f>IFERROR(_xlfn.IFNA(IF($BA134="No",0,IF(INDEX(Constants!E:E,MATCH(($I134/12),Constants!$A:$A,0))=0,0,INDEX(Constants!E:E,MATCH(($I134/12),Constants!$A:$A,0)))),0),"")</f>
        <v/>
      </c>
      <c r="AU134" s="146" t="str">
        <f>IFERROR(_xlfn.IFNA(IF($BA134="No",0,IF(INDEX(Constants!F:F,MATCH(($I134/12),Constants!$A:$A,0))=0,0,INDEX(Constants!F:F,MATCH(($I134/12),Constants!$A:$A,0)))),0),"")</f>
        <v/>
      </c>
      <c r="AV134" s="146" t="str">
        <f>IFERROR(_xlfn.IFNA(IF($BA134="No",0,IF(INDEX(Constants!G:G,MATCH(($I134/12),Constants!$A:$A,0))=0,0,INDEX(Constants!G:G,MATCH(($I134/12),Constants!$A:$A,0)))),0),"")</f>
        <v/>
      </c>
      <c r="AW134" s="146" t="str">
        <f>IFERROR(_xlfn.IFNA(IF($BA134="No",0,IF(INDEX(Constants!H:H,MATCH(($I134/12),Constants!$A:$A,0))=0,0,INDEX(Constants!H:H,MATCH(($I134/12),Constants!$A:$A,0)))),0),"")</f>
        <v/>
      </c>
      <c r="AX134" s="146" t="str">
        <f>IFERROR(_xlfn.IFNA(IF($BA134="No",0,IF(INDEX(Constants!I:I,MATCH(($I134/12),Constants!$A:$A,0))=0,0,INDEX(Constants!I:I,MATCH(($I134/12),Constants!$A:$A,0)))),0),"")</f>
        <v/>
      </c>
      <c r="AY134" s="146" t="str">
        <f>IFERROR(_xlfn.IFNA(IF($BA134="No",0,IF(INDEX(Constants!J:J,MATCH(($I134/12),Constants!$A:$A,0))=0,0,INDEX(Constants!J:J,MATCH(($I134/12),Constants!$A:$A,0)))),0),"")</f>
        <v/>
      </c>
      <c r="AZ134" s="146" t="str">
        <f>IFERROR(_xlfn.IFNA(IF($BA134="No",0,IF(INDEX(Constants!K:K,MATCH(($I134/12),Constants!$A:$A,0))=0,0,INDEX(Constants!K:K,MATCH(($I134/12),Constants!$A:$A,0)))),0),"")</f>
        <v/>
      </c>
      <c r="BA134" s="147" t="str">
        <f>_xlfn.IFNA(INDEX(Producer!$L:$L,MATCH($D134,Producer!$A:$A,0)),"")</f>
        <v/>
      </c>
      <c r="BB134" s="146" t="str">
        <f>IFERROR(IF(AQ134=0,"",IF(($I134/12)=15,_xlfn.CONCAT(Constants!$N$7,TEXT(DATE(YEAR(H134)-(($I134/12)-3),MONTH(H134),DAY(H134)),"dd/mm/yyyy"),", ",Constants!$P$7,TEXT(DATE(YEAR(H134)-(($I134/12)-8),MONTH(H134),DAY(H134)),"dd/mm/yyyy"),", ",Constants!$T$7,TEXT(DATE(YEAR(H134)-(($I134/12)-11),MONTH(H134),DAY(H134)),"dd/mm/yyyy"),", ",Constants!$V$7,TEXT(DATE(YEAR(H134)-(($I134/12)-13),MONTH(H134),DAY(H134)),"dd/mm/yyyy"),", ",Constants!$W$7,TEXT($H134,"dd/mm/yyyy")),IF(($I134/12)=10,_xlfn.CONCAT(Constants!$N$6,TEXT(DATE(YEAR(H134)-(($I134/12)-2),MONTH(H134),DAY(H134)),"dd/mm/yyyy"),", ",Constants!$P$6,TEXT(DATE(YEAR(H134)-(($I134/12)-6),MONTH(H134),DAY(H134)),"dd/mm/yyyy"),", ",Constants!$T$6,TEXT(DATE(YEAR(H134)-(($I134/12)-8),MONTH(H134),DAY(H134)),"dd/mm/yyyy"),", ",Constants!$V$6,TEXT(DATE(YEAR(H134)-(($I134/12)-9),MONTH(H134),DAY(H134)),"dd/mm/yyyy"),", ",Constants!$W$6,TEXT($H134,"dd/mm/yyyy")),IF(($I134/12)=5,_xlfn.CONCAT(Constants!$N$5,TEXT(DATE(YEAR(H134)-(($I134/12)-1),MONTH(H134),DAY(H134)),"dd/mm/yyyy"),", ",Constants!$O$5,TEXT(DATE(YEAR(H134)-(($I134/12)-2),MONTH(H134),DAY(H134)),"dd/mm/yyyy"),", ",Constants!$P$5,TEXT(DATE(YEAR(H134)-(($I134/12)-3),MONTH(H134),DAY(H134)),"dd/mm/yyyy"),", ",Constants!$Q$5,TEXT(DATE(YEAR(H134)-(($I134/12)-4),MONTH(H134),DAY(H134)),"dd/mm/yyyy"),", ",Constants!$R$5,TEXT($H134,"dd/mm/yyyy")),IF(($I134/12)=3,_xlfn.CONCAT(Constants!$N$4,TEXT(DATE(YEAR(H134)-(($I134/12)-1),MONTH(H134),DAY(H134)),"dd/mm/yyyy"),", ",Constants!$O$4,TEXT(DATE(YEAR(H134)-(($I134/12)-2),MONTH(H134),DAY(H134)),"dd/mm/yyyy"),", ",Constants!$P$4,TEXT($H134,"dd/mm/yyyy")),IF(($I134/12)=2,_xlfn.CONCAT(Constants!$N$3,TEXT(DATE(YEAR(H134)-(($I134/12)-1),MONTH(H134),DAY(H134)),"dd/mm/yyyy"),", ",Constants!$O$3,TEXT($H134,"dd/mm/yyyy")),IF(($I134/12)=1,_xlfn.CONCAT(Constants!$N$2,TEXT($H134,"dd/mm/yyyy")),"Update Constants"))))))),"")</f>
        <v/>
      </c>
      <c r="BC134" s="147" t="str">
        <f>_xlfn.IFNA(VALUE(INDEX(Producer!$K:$K,MATCH($D134,Producer!$A:$A,0))),"")</f>
        <v/>
      </c>
      <c r="BD134" s="147" t="str">
        <f>_xlfn.IFNA(INDEX(Producer!$I:$I,MATCH($D134,Producer!$A:$A,0)),"")</f>
        <v/>
      </c>
      <c r="BE134" s="147" t="str">
        <f t="shared" si="64"/>
        <v/>
      </c>
      <c r="BF134" s="147"/>
      <c r="BG134" s="147"/>
      <c r="BH134" s="151" t="str">
        <f>_xlfn.IFNA(INDEX(Constants!$B:$B,MATCH(BC134,Constants!A:A,0)),"")</f>
        <v/>
      </c>
      <c r="BI134" s="147" t="str">
        <f>IF(LEFT(B134,15)="Limited Company",Constants!$D$16,IFERROR(_xlfn.IFNA(IF(C134="Residential",IF(BK134&lt;75,INDEX(Constants!$B:$B,MATCH(VALUE(60)/100,Constants!$A:$A,0)),INDEX(Constants!$B:$B,MATCH(VALUE(BK134)/100,Constants!$A:$A,0))),IF(BK134&lt;60,INDEX(Constants!$C:$C,MATCH(VALUE(60)/100,Constants!$A:$A,0)),INDEX(Constants!$C:$C,MATCH(VALUE(BK134)/100,Constants!$A:$A,0)))),""),""))</f>
        <v/>
      </c>
      <c r="BJ134" s="147" t="str">
        <f t="shared" si="65"/>
        <v/>
      </c>
      <c r="BK134" s="147" t="str">
        <f>_xlfn.IFNA(VALUE(INDEX(Producer!$E:$E,MATCH($D134,Producer!$A:$A,0)))*100,"")</f>
        <v/>
      </c>
      <c r="BL134" s="146" t="str">
        <f>_xlfn.IFNA(IF(IFERROR(FIND("Part &amp; Part",B134),-10)&gt;0,"PP",IF(OR(LEFT(B134,25)="Residential Interest Only",INDEX(Producer!$P:$P,MATCH($D134,Producer!$A:$A,0))="IO",INDEX(Producer!$P:$P,MATCH($D134,Producer!$A:$A,0))="Retirement Interest Only"),"IO",IF($C134="BuyToLet","CI, IO","CI"))),"")</f>
        <v/>
      </c>
      <c r="BM134" s="152" t="str">
        <f>_xlfn.IFNA(IF(BL134="IO",100%,IF(AND(INDEX(Producer!$P:$P,MATCH($D134,Producer!$A:$A,0))="Residential Interest Only Part &amp; Part",BK134=75),80%,IF(C134="BuyToLet",100%,IF(BL134="Interest Only",100%,IF(AND(INDEX(Producer!$P:$P,MATCH($D134,Producer!$A:$A,0))="Residential Interest Only Part &amp; Part",BK134=60),100%,""))))),"")</f>
        <v/>
      </c>
      <c r="BN134" s="218" t="str">
        <f>_xlfn.IFNA(IF(VALUE(INDEX(Producer!$H:$H,MATCH($D134,Producer!$A:$A,0)))=0,"",VALUE(INDEX(Producer!$H:$H,MATCH($D134,Producer!$A:$A,0)))),"")</f>
        <v/>
      </c>
      <c r="BO134" s="153"/>
      <c r="BP134" s="153"/>
      <c r="BQ134" s="219" t="str">
        <f t="shared" si="66"/>
        <v/>
      </c>
      <c r="BR134" s="146"/>
      <c r="BS134" s="146"/>
      <c r="BT134" s="146"/>
      <c r="BU134" s="146"/>
      <c r="BV134" s="219" t="str">
        <f t="shared" si="67"/>
        <v/>
      </c>
      <c r="BW134" s="146"/>
      <c r="BX134" s="146"/>
      <c r="BY134" s="146" t="str">
        <f t="shared" si="68"/>
        <v/>
      </c>
      <c r="BZ134" s="146" t="str">
        <f t="shared" si="69"/>
        <v/>
      </c>
      <c r="CA134" s="146" t="str">
        <f t="shared" si="70"/>
        <v/>
      </c>
      <c r="CB134" s="146" t="str">
        <f t="shared" si="71"/>
        <v/>
      </c>
      <c r="CC134" s="146" t="str">
        <f>_xlfn.IFNA(IF(INDEX(Producer!$P:$P,MATCH($D134,Producer!$A:$A,0))="Help to Buy","Only available","No"),"")</f>
        <v/>
      </c>
      <c r="CD134" s="146" t="str">
        <f>_xlfn.IFNA(IF(INDEX(Producer!$P:$P,MATCH($D134,Producer!$A:$A,0))="Shared Ownership","Only available","No"),"")</f>
        <v/>
      </c>
      <c r="CE134" s="146" t="str">
        <f>_xlfn.IFNA(IF(INDEX(Producer!$P:$P,MATCH($D134,Producer!$A:$A,0))="Right to Buy","Only available","No"),"")</f>
        <v/>
      </c>
      <c r="CF134" s="146" t="str">
        <f t="shared" si="72"/>
        <v/>
      </c>
      <c r="CG134" s="146" t="str">
        <f>_xlfn.IFNA(IF(INDEX(Producer!$P:$P,MATCH($D134,Producer!$A:$A,0))="Retirement Interest Only","Only available","No"),"")</f>
        <v/>
      </c>
      <c r="CH134" s="146" t="str">
        <f t="shared" si="73"/>
        <v/>
      </c>
      <c r="CI134" s="146" t="str">
        <f>_xlfn.IFNA(IF(INDEX(Producer!$P:$P,MATCH($D134,Producer!$A:$A,0))="Intermediary Holiday Let","Only available","No"),"")</f>
        <v/>
      </c>
      <c r="CJ134" s="146" t="str">
        <f t="shared" si="74"/>
        <v/>
      </c>
      <c r="CK134" s="146" t="str">
        <f>_xlfn.IFNA(IF(OR(INDEX(Producer!$P:$P,MATCH($D134,Producer!$A:$A,0))="Intermediary Small HMO",INDEX(Producer!$P:$P,MATCH($D134,Producer!$A:$A,0))="Intermediary Large HMO"),"Only available","No"),"")</f>
        <v/>
      </c>
      <c r="CL134" s="146" t="str">
        <f t="shared" si="75"/>
        <v/>
      </c>
      <c r="CM134" s="146" t="str">
        <f t="shared" si="76"/>
        <v/>
      </c>
      <c r="CN134" s="146" t="str">
        <f t="shared" si="77"/>
        <v/>
      </c>
      <c r="CO134" s="146" t="str">
        <f t="shared" si="78"/>
        <v/>
      </c>
      <c r="CP134" s="146" t="str">
        <f t="shared" si="79"/>
        <v/>
      </c>
      <c r="CQ134" s="146" t="str">
        <f t="shared" si="80"/>
        <v/>
      </c>
      <c r="CR134" s="146" t="str">
        <f t="shared" si="81"/>
        <v/>
      </c>
      <c r="CS134" s="146" t="str">
        <f t="shared" si="82"/>
        <v/>
      </c>
      <c r="CT134" s="146" t="str">
        <f t="shared" si="83"/>
        <v/>
      </c>
      <c r="CU134" s="146"/>
    </row>
    <row r="135" spans="1:99" ht="16.399999999999999" customHeight="1" x14ac:dyDescent="0.35">
      <c r="A135" s="145" t="str">
        <f t="shared" si="56"/>
        <v/>
      </c>
      <c r="B135" s="145" t="str">
        <f>_xlfn.IFNA(_xlfn.CONCAT(INDEX(Producer!$P:$P,MATCH($D135,Producer!$A:$A,0))," ",IF(INDEX(Producer!$N:$N,MATCH($D135,Producer!$A:$A,0))="Yes","Green ",""),IF(AND(INDEX(Producer!$L:$L,MATCH($D135,Producer!$A:$A,0))="No",INDEX(Producer!$C:$C,MATCH($D135,Producer!$A:$A,0))="Fixed"),"Flexit ",""),INDEX(Producer!$B:$B,MATCH($D135,Producer!$A:$A,0))," Year ",INDEX(Producer!$C:$C,MATCH($D135,Producer!$A:$A,0))," ",VALUE(INDEX(Producer!$E:$E,MATCH($D135,Producer!$A:$A,0)))*100,"% LTV",IF(INDEX(Producer!$N:$N,MATCH($D135,Producer!$A:$A,0))="Yes"," (EPC A-C)","")," - ",IF(INDEX(Producer!$D:$D,MATCH($D135,Producer!$A:$A,0))="DLY","Daily","Annual")),"")</f>
        <v/>
      </c>
      <c r="C135" s="146" t="str">
        <f>_xlfn.IFNA(INDEX(Producer!$Q:$Q,MATCH($D135,Producer!$A:$A,0)),"")</f>
        <v/>
      </c>
      <c r="D135" s="146" t="str">
        <f>IFERROR(VALUE(MID(Producer!$R$2,IF($D134="",1/0,FIND(_xlfn.CONCAT($D133,$D134),Producer!$R$2)+10),5)),"")</f>
        <v/>
      </c>
      <c r="E135" s="146" t="str">
        <f t="shared" si="57"/>
        <v/>
      </c>
      <c r="F135" s="146"/>
      <c r="G135" s="147" t="str">
        <f>_xlfn.IFNA(VALUE(INDEX(Producer!$F:$F,MATCH($D135,Producer!$A:$A,0)))*100,"")</f>
        <v/>
      </c>
      <c r="H135" s="216" t="str">
        <f>_xlfn.IFNA(IFERROR(DATEVALUE(INDEX(Producer!$M:$M,MATCH($D135,Producer!$A:$A,0))),(INDEX(Producer!$M:$M,MATCH($D135,Producer!$A:$A,0)))),"")</f>
        <v/>
      </c>
      <c r="I135" s="217" t="str">
        <f>_xlfn.IFNA(VALUE(INDEX(Producer!$B:$B,MATCH($D135,Producer!$A:$A,0)))*12,"")</f>
        <v/>
      </c>
      <c r="J135" s="146" t="str">
        <f>_xlfn.IFNA(IF(C135="Residential",IF(VALUE(INDEX(Producer!$B:$B,MATCH($D135,Producer!$A:$A,0)))&lt;5,Constants!$C$10,""),IF(VALUE(INDEX(Producer!$B:$B,MATCH($D135,Producer!$A:$A,0)))&lt;5,Constants!$C$11,"")),"")</f>
        <v/>
      </c>
      <c r="K135" s="216" t="str">
        <f>_xlfn.IFNA(IF(($I135)&lt;60,DATE(YEAR(H135)+(5-VALUE(INDEX(Producer!$B:$B,MATCH($D135,Producer!$A:$A,0)))),MONTH(H135),DAY(H135)),""),"")</f>
        <v/>
      </c>
      <c r="L135" s="153" t="str">
        <f t="shared" si="58"/>
        <v/>
      </c>
      <c r="M135" s="146"/>
      <c r="N135" s="148"/>
      <c r="O135" s="148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 t="str">
        <f>IF(D135="","",IF(C135="Residential",Constants!$B$10,Constants!$B$11))</f>
        <v/>
      </c>
      <c r="AL135" s="146" t="str">
        <f t="shared" si="59"/>
        <v/>
      </c>
      <c r="AM135" s="206" t="str">
        <f t="shared" si="60"/>
        <v/>
      </c>
      <c r="AN135" s="146" t="str">
        <f t="shared" si="61"/>
        <v/>
      </c>
      <c r="AO135" s="149" t="str">
        <f t="shared" si="62"/>
        <v/>
      </c>
      <c r="AP135" s="150" t="str">
        <f t="shared" si="63"/>
        <v/>
      </c>
      <c r="AQ135" s="146" t="str">
        <f>IFERROR(_xlfn.IFNA(IF($BA135="No",0,IF(INDEX(Constants!B:B,MATCH(($I135/12),Constants!$A:$A,0))=0,0,INDEX(Constants!B:B,MATCH(($I135/12),Constants!$A:$A,0)))),0),"")</f>
        <v/>
      </c>
      <c r="AR135" s="146" t="str">
        <f>IFERROR(_xlfn.IFNA(IF($BA135="No",0,IF(INDEX(Constants!C:C,MATCH(($I135/12),Constants!$A:$A,0))=0,0,INDEX(Constants!C:C,MATCH(($I135/12),Constants!$A:$A,0)))),0),"")</f>
        <v/>
      </c>
      <c r="AS135" s="146" t="str">
        <f>IFERROR(_xlfn.IFNA(IF($BA135="No",0,IF(INDEX(Constants!D:D,MATCH(($I135/12),Constants!$A:$A,0))=0,0,INDEX(Constants!D:D,MATCH(($I135/12),Constants!$A:$A,0)))),0),"")</f>
        <v/>
      </c>
      <c r="AT135" s="146" t="str">
        <f>IFERROR(_xlfn.IFNA(IF($BA135="No",0,IF(INDEX(Constants!E:E,MATCH(($I135/12),Constants!$A:$A,0))=0,0,INDEX(Constants!E:E,MATCH(($I135/12),Constants!$A:$A,0)))),0),"")</f>
        <v/>
      </c>
      <c r="AU135" s="146" t="str">
        <f>IFERROR(_xlfn.IFNA(IF($BA135="No",0,IF(INDEX(Constants!F:F,MATCH(($I135/12),Constants!$A:$A,0))=0,0,INDEX(Constants!F:F,MATCH(($I135/12),Constants!$A:$A,0)))),0),"")</f>
        <v/>
      </c>
      <c r="AV135" s="146" t="str">
        <f>IFERROR(_xlfn.IFNA(IF($BA135="No",0,IF(INDEX(Constants!G:G,MATCH(($I135/12),Constants!$A:$A,0))=0,0,INDEX(Constants!G:G,MATCH(($I135/12),Constants!$A:$A,0)))),0),"")</f>
        <v/>
      </c>
      <c r="AW135" s="146" t="str">
        <f>IFERROR(_xlfn.IFNA(IF($BA135="No",0,IF(INDEX(Constants!H:H,MATCH(($I135/12),Constants!$A:$A,0))=0,0,INDEX(Constants!H:H,MATCH(($I135/12),Constants!$A:$A,0)))),0),"")</f>
        <v/>
      </c>
      <c r="AX135" s="146" t="str">
        <f>IFERROR(_xlfn.IFNA(IF($BA135="No",0,IF(INDEX(Constants!I:I,MATCH(($I135/12),Constants!$A:$A,0))=0,0,INDEX(Constants!I:I,MATCH(($I135/12),Constants!$A:$A,0)))),0),"")</f>
        <v/>
      </c>
      <c r="AY135" s="146" t="str">
        <f>IFERROR(_xlfn.IFNA(IF($BA135="No",0,IF(INDEX(Constants!J:J,MATCH(($I135/12),Constants!$A:$A,0))=0,0,INDEX(Constants!J:J,MATCH(($I135/12),Constants!$A:$A,0)))),0),"")</f>
        <v/>
      </c>
      <c r="AZ135" s="146" t="str">
        <f>IFERROR(_xlfn.IFNA(IF($BA135="No",0,IF(INDEX(Constants!K:K,MATCH(($I135/12),Constants!$A:$A,0))=0,0,INDEX(Constants!K:K,MATCH(($I135/12),Constants!$A:$A,0)))),0),"")</f>
        <v/>
      </c>
      <c r="BA135" s="147" t="str">
        <f>_xlfn.IFNA(INDEX(Producer!$L:$L,MATCH($D135,Producer!$A:$A,0)),"")</f>
        <v/>
      </c>
      <c r="BB135" s="146" t="str">
        <f>IFERROR(IF(AQ135=0,"",IF(($I135/12)=15,_xlfn.CONCAT(Constants!$N$7,TEXT(DATE(YEAR(H135)-(($I135/12)-3),MONTH(H135),DAY(H135)),"dd/mm/yyyy"),", ",Constants!$P$7,TEXT(DATE(YEAR(H135)-(($I135/12)-8),MONTH(H135),DAY(H135)),"dd/mm/yyyy"),", ",Constants!$T$7,TEXT(DATE(YEAR(H135)-(($I135/12)-11),MONTH(H135),DAY(H135)),"dd/mm/yyyy"),", ",Constants!$V$7,TEXT(DATE(YEAR(H135)-(($I135/12)-13),MONTH(H135),DAY(H135)),"dd/mm/yyyy"),", ",Constants!$W$7,TEXT($H135,"dd/mm/yyyy")),IF(($I135/12)=10,_xlfn.CONCAT(Constants!$N$6,TEXT(DATE(YEAR(H135)-(($I135/12)-2),MONTH(H135),DAY(H135)),"dd/mm/yyyy"),", ",Constants!$P$6,TEXT(DATE(YEAR(H135)-(($I135/12)-6),MONTH(H135),DAY(H135)),"dd/mm/yyyy"),", ",Constants!$T$6,TEXT(DATE(YEAR(H135)-(($I135/12)-8),MONTH(H135),DAY(H135)),"dd/mm/yyyy"),", ",Constants!$V$6,TEXT(DATE(YEAR(H135)-(($I135/12)-9),MONTH(H135),DAY(H135)),"dd/mm/yyyy"),", ",Constants!$W$6,TEXT($H135,"dd/mm/yyyy")),IF(($I135/12)=5,_xlfn.CONCAT(Constants!$N$5,TEXT(DATE(YEAR(H135)-(($I135/12)-1),MONTH(H135),DAY(H135)),"dd/mm/yyyy"),", ",Constants!$O$5,TEXT(DATE(YEAR(H135)-(($I135/12)-2),MONTH(H135),DAY(H135)),"dd/mm/yyyy"),", ",Constants!$P$5,TEXT(DATE(YEAR(H135)-(($I135/12)-3),MONTH(H135),DAY(H135)),"dd/mm/yyyy"),", ",Constants!$Q$5,TEXT(DATE(YEAR(H135)-(($I135/12)-4),MONTH(H135),DAY(H135)),"dd/mm/yyyy"),", ",Constants!$R$5,TEXT($H135,"dd/mm/yyyy")),IF(($I135/12)=3,_xlfn.CONCAT(Constants!$N$4,TEXT(DATE(YEAR(H135)-(($I135/12)-1),MONTH(H135),DAY(H135)),"dd/mm/yyyy"),", ",Constants!$O$4,TEXT(DATE(YEAR(H135)-(($I135/12)-2),MONTH(H135),DAY(H135)),"dd/mm/yyyy"),", ",Constants!$P$4,TEXT($H135,"dd/mm/yyyy")),IF(($I135/12)=2,_xlfn.CONCAT(Constants!$N$3,TEXT(DATE(YEAR(H135)-(($I135/12)-1),MONTH(H135),DAY(H135)),"dd/mm/yyyy"),", ",Constants!$O$3,TEXT($H135,"dd/mm/yyyy")),IF(($I135/12)=1,_xlfn.CONCAT(Constants!$N$2,TEXT($H135,"dd/mm/yyyy")),"Update Constants"))))))),"")</f>
        <v/>
      </c>
      <c r="BC135" s="147" t="str">
        <f>_xlfn.IFNA(VALUE(INDEX(Producer!$K:$K,MATCH($D135,Producer!$A:$A,0))),"")</f>
        <v/>
      </c>
      <c r="BD135" s="147" t="str">
        <f>_xlfn.IFNA(INDEX(Producer!$I:$I,MATCH($D135,Producer!$A:$A,0)),"")</f>
        <v/>
      </c>
      <c r="BE135" s="147" t="str">
        <f t="shared" si="64"/>
        <v/>
      </c>
      <c r="BF135" s="147"/>
      <c r="BG135" s="147"/>
      <c r="BH135" s="151" t="str">
        <f>_xlfn.IFNA(INDEX(Constants!$B:$B,MATCH(BC135,Constants!A:A,0)),"")</f>
        <v/>
      </c>
      <c r="BI135" s="147" t="str">
        <f>IF(LEFT(B135,15)="Limited Company",Constants!$D$16,IFERROR(_xlfn.IFNA(IF(C135="Residential",IF(BK135&lt;75,INDEX(Constants!$B:$B,MATCH(VALUE(60)/100,Constants!$A:$A,0)),INDEX(Constants!$B:$B,MATCH(VALUE(BK135)/100,Constants!$A:$A,0))),IF(BK135&lt;60,INDEX(Constants!$C:$C,MATCH(VALUE(60)/100,Constants!$A:$A,0)),INDEX(Constants!$C:$C,MATCH(VALUE(BK135)/100,Constants!$A:$A,0)))),""),""))</f>
        <v/>
      </c>
      <c r="BJ135" s="147" t="str">
        <f t="shared" si="65"/>
        <v/>
      </c>
      <c r="BK135" s="147" t="str">
        <f>_xlfn.IFNA(VALUE(INDEX(Producer!$E:$E,MATCH($D135,Producer!$A:$A,0)))*100,"")</f>
        <v/>
      </c>
      <c r="BL135" s="146" t="str">
        <f>_xlfn.IFNA(IF(IFERROR(FIND("Part &amp; Part",B135),-10)&gt;0,"PP",IF(OR(LEFT(B135,25)="Residential Interest Only",INDEX(Producer!$P:$P,MATCH($D135,Producer!$A:$A,0))="IO",INDEX(Producer!$P:$P,MATCH($D135,Producer!$A:$A,0))="Retirement Interest Only"),"IO",IF($C135="BuyToLet","CI, IO","CI"))),"")</f>
        <v/>
      </c>
      <c r="BM135" s="152" t="str">
        <f>_xlfn.IFNA(IF(BL135="IO",100%,IF(AND(INDEX(Producer!$P:$P,MATCH($D135,Producer!$A:$A,0))="Residential Interest Only Part &amp; Part",BK135=75),80%,IF(C135="BuyToLet",100%,IF(BL135="Interest Only",100%,IF(AND(INDEX(Producer!$P:$P,MATCH($D135,Producer!$A:$A,0))="Residential Interest Only Part &amp; Part",BK135=60),100%,""))))),"")</f>
        <v/>
      </c>
      <c r="BN135" s="218" t="str">
        <f>_xlfn.IFNA(IF(VALUE(INDEX(Producer!$H:$H,MATCH($D135,Producer!$A:$A,0)))=0,"",VALUE(INDEX(Producer!$H:$H,MATCH($D135,Producer!$A:$A,0)))),"")</f>
        <v/>
      </c>
      <c r="BO135" s="153"/>
      <c r="BP135" s="153"/>
      <c r="BQ135" s="219" t="str">
        <f t="shared" si="66"/>
        <v/>
      </c>
      <c r="BR135" s="146"/>
      <c r="BS135" s="146"/>
      <c r="BT135" s="146"/>
      <c r="BU135" s="146"/>
      <c r="BV135" s="219" t="str">
        <f t="shared" si="67"/>
        <v/>
      </c>
      <c r="BW135" s="146"/>
      <c r="BX135" s="146"/>
      <c r="BY135" s="146" t="str">
        <f t="shared" si="68"/>
        <v/>
      </c>
      <c r="BZ135" s="146" t="str">
        <f t="shared" si="69"/>
        <v/>
      </c>
      <c r="CA135" s="146" t="str">
        <f t="shared" si="70"/>
        <v/>
      </c>
      <c r="CB135" s="146" t="str">
        <f t="shared" si="71"/>
        <v/>
      </c>
      <c r="CC135" s="146" t="str">
        <f>_xlfn.IFNA(IF(INDEX(Producer!$P:$P,MATCH($D135,Producer!$A:$A,0))="Help to Buy","Only available","No"),"")</f>
        <v/>
      </c>
      <c r="CD135" s="146" t="str">
        <f>_xlfn.IFNA(IF(INDEX(Producer!$P:$P,MATCH($D135,Producer!$A:$A,0))="Shared Ownership","Only available","No"),"")</f>
        <v/>
      </c>
      <c r="CE135" s="146" t="str">
        <f>_xlfn.IFNA(IF(INDEX(Producer!$P:$P,MATCH($D135,Producer!$A:$A,0))="Right to Buy","Only available","No"),"")</f>
        <v/>
      </c>
      <c r="CF135" s="146" t="str">
        <f t="shared" si="72"/>
        <v/>
      </c>
      <c r="CG135" s="146" t="str">
        <f>_xlfn.IFNA(IF(INDEX(Producer!$P:$P,MATCH($D135,Producer!$A:$A,0))="Retirement Interest Only","Only available","No"),"")</f>
        <v/>
      </c>
      <c r="CH135" s="146" t="str">
        <f t="shared" si="73"/>
        <v/>
      </c>
      <c r="CI135" s="146" t="str">
        <f>_xlfn.IFNA(IF(INDEX(Producer!$P:$P,MATCH($D135,Producer!$A:$A,0))="Intermediary Holiday Let","Only available","No"),"")</f>
        <v/>
      </c>
      <c r="CJ135" s="146" t="str">
        <f t="shared" si="74"/>
        <v/>
      </c>
      <c r="CK135" s="146" t="str">
        <f>_xlfn.IFNA(IF(OR(INDEX(Producer!$P:$P,MATCH($D135,Producer!$A:$A,0))="Intermediary Small HMO",INDEX(Producer!$P:$P,MATCH($D135,Producer!$A:$A,0))="Intermediary Large HMO"),"Only available","No"),"")</f>
        <v/>
      </c>
      <c r="CL135" s="146" t="str">
        <f t="shared" si="75"/>
        <v/>
      </c>
      <c r="CM135" s="146" t="str">
        <f t="shared" si="76"/>
        <v/>
      </c>
      <c r="CN135" s="146" t="str">
        <f t="shared" si="77"/>
        <v/>
      </c>
      <c r="CO135" s="146" t="str">
        <f t="shared" si="78"/>
        <v/>
      </c>
      <c r="CP135" s="146" t="str">
        <f t="shared" si="79"/>
        <v/>
      </c>
      <c r="CQ135" s="146" t="str">
        <f t="shared" si="80"/>
        <v/>
      </c>
      <c r="CR135" s="146" t="str">
        <f t="shared" si="81"/>
        <v/>
      </c>
      <c r="CS135" s="146" t="str">
        <f t="shared" si="82"/>
        <v/>
      </c>
      <c r="CT135" s="146" t="str">
        <f t="shared" si="83"/>
        <v/>
      </c>
      <c r="CU135" s="146"/>
    </row>
    <row r="136" spans="1:99" ht="16.399999999999999" customHeight="1" x14ac:dyDescent="0.35">
      <c r="A136" s="145" t="str">
        <f t="shared" si="56"/>
        <v/>
      </c>
      <c r="B136" s="145" t="str">
        <f>_xlfn.IFNA(_xlfn.CONCAT(INDEX(Producer!$P:$P,MATCH($D136,Producer!$A:$A,0))," ",IF(INDEX(Producer!$N:$N,MATCH($D136,Producer!$A:$A,0))="Yes","Green ",""),IF(AND(INDEX(Producer!$L:$L,MATCH($D136,Producer!$A:$A,0))="No",INDEX(Producer!$C:$C,MATCH($D136,Producer!$A:$A,0))="Fixed"),"Flexit ",""),INDEX(Producer!$B:$B,MATCH($D136,Producer!$A:$A,0))," Year ",INDEX(Producer!$C:$C,MATCH($D136,Producer!$A:$A,0))," ",VALUE(INDEX(Producer!$E:$E,MATCH($D136,Producer!$A:$A,0)))*100,"% LTV",IF(INDEX(Producer!$N:$N,MATCH($D136,Producer!$A:$A,0))="Yes"," (EPC A-C)","")," - ",IF(INDEX(Producer!$D:$D,MATCH($D136,Producer!$A:$A,0))="DLY","Daily","Annual")),"")</f>
        <v/>
      </c>
      <c r="C136" s="146" t="str">
        <f>_xlfn.IFNA(INDEX(Producer!$Q:$Q,MATCH($D136,Producer!$A:$A,0)),"")</f>
        <v/>
      </c>
      <c r="D136" s="146" t="str">
        <f>IFERROR(VALUE(MID(Producer!$R$2,IF($D135="",1/0,FIND(_xlfn.CONCAT($D134,$D135),Producer!$R$2)+10),5)),"")</f>
        <v/>
      </c>
      <c r="E136" s="146" t="str">
        <f t="shared" si="57"/>
        <v/>
      </c>
      <c r="F136" s="146"/>
      <c r="G136" s="147" t="str">
        <f>_xlfn.IFNA(VALUE(INDEX(Producer!$F:$F,MATCH($D136,Producer!$A:$A,0)))*100,"")</f>
        <v/>
      </c>
      <c r="H136" s="216" t="str">
        <f>_xlfn.IFNA(IFERROR(DATEVALUE(INDEX(Producer!$M:$M,MATCH($D136,Producer!$A:$A,0))),(INDEX(Producer!$M:$M,MATCH($D136,Producer!$A:$A,0)))),"")</f>
        <v/>
      </c>
      <c r="I136" s="217" t="str">
        <f>_xlfn.IFNA(VALUE(INDEX(Producer!$B:$B,MATCH($D136,Producer!$A:$A,0)))*12,"")</f>
        <v/>
      </c>
      <c r="J136" s="146" t="str">
        <f>_xlfn.IFNA(IF(C136="Residential",IF(VALUE(INDEX(Producer!$B:$B,MATCH($D136,Producer!$A:$A,0)))&lt;5,Constants!$C$10,""),IF(VALUE(INDEX(Producer!$B:$B,MATCH($D136,Producer!$A:$A,0)))&lt;5,Constants!$C$11,"")),"")</f>
        <v/>
      </c>
      <c r="K136" s="216" t="str">
        <f>_xlfn.IFNA(IF(($I136)&lt;60,DATE(YEAR(H136)+(5-VALUE(INDEX(Producer!$B:$B,MATCH($D136,Producer!$A:$A,0)))),MONTH(H136),DAY(H136)),""),"")</f>
        <v/>
      </c>
      <c r="L136" s="153" t="str">
        <f t="shared" si="58"/>
        <v/>
      </c>
      <c r="M136" s="146"/>
      <c r="N136" s="148"/>
      <c r="O136" s="148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 t="str">
        <f>IF(D136="","",IF(C136="Residential",Constants!$B$10,Constants!$B$11))</f>
        <v/>
      </c>
      <c r="AL136" s="146" t="str">
        <f t="shared" si="59"/>
        <v/>
      </c>
      <c r="AM136" s="206" t="str">
        <f t="shared" si="60"/>
        <v/>
      </c>
      <c r="AN136" s="146" t="str">
        <f t="shared" si="61"/>
        <v/>
      </c>
      <c r="AO136" s="149" t="str">
        <f t="shared" si="62"/>
        <v/>
      </c>
      <c r="AP136" s="150" t="str">
        <f t="shared" si="63"/>
        <v/>
      </c>
      <c r="AQ136" s="146" t="str">
        <f>IFERROR(_xlfn.IFNA(IF($BA136="No",0,IF(INDEX(Constants!B:B,MATCH(($I136/12),Constants!$A:$A,0))=0,0,INDEX(Constants!B:B,MATCH(($I136/12),Constants!$A:$A,0)))),0),"")</f>
        <v/>
      </c>
      <c r="AR136" s="146" t="str">
        <f>IFERROR(_xlfn.IFNA(IF($BA136="No",0,IF(INDEX(Constants!C:C,MATCH(($I136/12),Constants!$A:$A,0))=0,0,INDEX(Constants!C:C,MATCH(($I136/12),Constants!$A:$A,0)))),0),"")</f>
        <v/>
      </c>
      <c r="AS136" s="146" t="str">
        <f>IFERROR(_xlfn.IFNA(IF($BA136="No",0,IF(INDEX(Constants!D:D,MATCH(($I136/12),Constants!$A:$A,0))=0,0,INDEX(Constants!D:D,MATCH(($I136/12),Constants!$A:$A,0)))),0),"")</f>
        <v/>
      </c>
      <c r="AT136" s="146" t="str">
        <f>IFERROR(_xlfn.IFNA(IF($BA136="No",0,IF(INDEX(Constants!E:E,MATCH(($I136/12),Constants!$A:$A,0))=0,0,INDEX(Constants!E:E,MATCH(($I136/12),Constants!$A:$A,0)))),0),"")</f>
        <v/>
      </c>
      <c r="AU136" s="146" t="str">
        <f>IFERROR(_xlfn.IFNA(IF($BA136="No",0,IF(INDEX(Constants!F:F,MATCH(($I136/12),Constants!$A:$A,0))=0,0,INDEX(Constants!F:F,MATCH(($I136/12),Constants!$A:$A,0)))),0),"")</f>
        <v/>
      </c>
      <c r="AV136" s="146" t="str">
        <f>IFERROR(_xlfn.IFNA(IF($BA136="No",0,IF(INDEX(Constants!G:G,MATCH(($I136/12),Constants!$A:$A,0))=0,0,INDEX(Constants!G:G,MATCH(($I136/12),Constants!$A:$A,0)))),0),"")</f>
        <v/>
      </c>
      <c r="AW136" s="146" t="str">
        <f>IFERROR(_xlfn.IFNA(IF($BA136="No",0,IF(INDEX(Constants!H:H,MATCH(($I136/12),Constants!$A:$A,0))=0,0,INDEX(Constants!H:H,MATCH(($I136/12),Constants!$A:$A,0)))),0),"")</f>
        <v/>
      </c>
      <c r="AX136" s="146" t="str">
        <f>IFERROR(_xlfn.IFNA(IF($BA136="No",0,IF(INDEX(Constants!I:I,MATCH(($I136/12),Constants!$A:$A,0))=0,0,INDEX(Constants!I:I,MATCH(($I136/12),Constants!$A:$A,0)))),0),"")</f>
        <v/>
      </c>
      <c r="AY136" s="146" t="str">
        <f>IFERROR(_xlfn.IFNA(IF($BA136="No",0,IF(INDEX(Constants!J:J,MATCH(($I136/12),Constants!$A:$A,0))=0,0,INDEX(Constants!J:J,MATCH(($I136/12),Constants!$A:$A,0)))),0),"")</f>
        <v/>
      </c>
      <c r="AZ136" s="146" t="str">
        <f>IFERROR(_xlfn.IFNA(IF($BA136="No",0,IF(INDEX(Constants!K:K,MATCH(($I136/12),Constants!$A:$A,0))=0,0,INDEX(Constants!K:K,MATCH(($I136/12),Constants!$A:$A,0)))),0),"")</f>
        <v/>
      </c>
      <c r="BA136" s="147" t="str">
        <f>_xlfn.IFNA(INDEX(Producer!$L:$L,MATCH($D136,Producer!$A:$A,0)),"")</f>
        <v/>
      </c>
      <c r="BB136" s="146" t="str">
        <f>IFERROR(IF(AQ136=0,"",IF(($I136/12)=15,_xlfn.CONCAT(Constants!$N$7,TEXT(DATE(YEAR(H136)-(($I136/12)-3),MONTH(H136),DAY(H136)),"dd/mm/yyyy"),", ",Constants!$P$7,TEXT(DATE(YEAR(H136)-(($I136/12)-8),MONTH(H136),DAY(H136)),"dd/mm/yyyy"),", ",Constants!$T$7,TEXT(DATE(YEAR(H136)-(($I136/12)-11),MONTH(H136),DAY(H136)),"dd/mm/yyyy"),", ",Constants!$V$7,TEXT(DATE(YEAR(H136)-(($I136/12)-13),MONTH(H136),DAY(H136)),"dd/mm/yyyy"),", ",Constants!$W$7,TEXT($H136,"dd/mm/yyyy")),IF(($I136/12)=10,_xlfn.CONCAT(Constants!$N$6,TEXT(DATE(YEAR(H136)-(($I136/12)-2),MONTH(H136),DAY(H136)),"dd/mm/yyyy"),", ",Constants!$P$6,TEXT(DATE(YEAR(H136)-(($I136/12)-6),MONTH(H136),DAY(H136)),"dd/mm/yyyy"),", ",Constants!$T$6,TEXT(DATE(YEAR(H136)-(($I136/12)-8),MONTH(H136),DAY(H136)),"dd/mm/yyyy"),", ",Constants!$V$6,TEXT(DATE(YEAR(H136)-(($I136/12)-9),MONTH(H136),DAY(H136)),"dd/mm/yyyy"),", ",Constants!$W$6,TEXT($H136,"dd/mm/yyyy")),IF(($I136/12)=5,_xlfn.CONCAT(Constants!$N$5,TEXT(DATE(YEAR(H136)-(($I136/12)-1),MONTH(H136),DAY(H136)),"dd/mm/yyyy"),", ",Constants!$O$5,TEXT(DATE(YEAR(H136)-(($I136/12)-2),MONTH(H136),DAY(H136)),"dd/mm/yyyy"),", ",Constants!$P$5,TEXT(DATE(YEAR(H136)-(($I136/12)-3),MONTH(H136),DAY(H136)),"dd/mm/yyyy"),", ",Constants!$Q$5,TEXT(DATE(YEAR(H136)-(($I136/12)-4),MONTH(H136),DAY(H136)),"dd/mm/yyyy"),", ",Constants!$R$5,TEXT($H136,"dd/mm/yyyy")),IF(($I136/12)=3,_xlfn.CONCAT(Constants!$N$4,TEXT(DATE(YEAR(H136)-(($I136/12)-1),MONTH(H136),DAY(H136)),"dd/mm/yyyy"),", ",Constants!$O$4,TEXT(DATE(YEAR(H136)-(($I136/12)-2),MONTH(H136),DAY(H136)),"dd/mm/yyyy"),", ",Constants!$P$4,TEXT($H136,"dd/mm/yyyy")),IF(($I136/12)=2,_xlfn.CONCAT(Constants!$N$3,TEXT(DATE(YEAR(H136)-(($I136/12)-1),MONTH(H136),DAY(H136)),"dd/mm/yyyy"),", ",Constants!$O$3,TEXT($H136,"dd/mm/yyyy")),IF(($I136/12)=1,_xlfn.CONCAT(Constants!$N$2,TEXT($H136,"dd/mm/yyyy")),"Update Constants"))))))),"")</f>
        <v/>
      </c>
      <c r="BC136" s="147" t="str">
        <f>_xlfn.IFNA(VALUE(INDEX(Producer!$K:$K,MATCH($D136,Producer!$A:$A,0))),"")</f>
        <v/>
      </c>
      <c r="BD136" s="147" t="str">
        <f>_xlfn.IFNA(INDEX(Producer!$I:$I,MATCH($D136,Producer!$A:$A,0)),"")</f>
        <v/>
      </c>
      <c r="BE136" s="147" t="str">
        <f t="shared" si="64"/>
        <v/>
      </c>
      <c r="BF136" s="147"/>
      <c r="BG136" s="147"/>
      <c r="BH136" s="151" t="str">
        <f>_xlfn.IFNA(INDEX(Constants!$B:$B,MATCH(BC136,Constants!A:A,0)),"")</f>
        <v/>
      </c>
      <c r="BI136" s="147" t="str">
        <f>IF(LEFT(B136,15)="Limited Company",Constants!$D$16,IFERROR(_xlfn.IFNA(IF(C136="Residential",IF(BK136&lt;75,INDEX(Constants!$B:$B,MATCH(VALUE(60)/100,Constants!$A:$A,0)),INDEX(Constants!$B:$B,MATCH(VALUE(BK136)/100,Constants!$A:$A,0))),IF(BK136&lt;60,INDEX(Constants!$C:$C,MATCH(VALUE(60)/100,Constants!$A:$A,0)),INDEX(Constants!$C:$C,MATCH(VALUE(BK136)/100,Constants!$A:$A,0)))),""),""))</f>
        <v/>
      </c>
      <c r="BJ136" s="147" t="str">
        <f t="shared" si="65"/>
        <v/>
      </c>
      <c r="BK136" s="147" t="str">
        <f>_xlfn.IFNA(VALUE(INDEX(Producer!$E:$E,MATCH($D136,Producer!$A:$A,0)))*100,"")</f>
        <v/>
      </c>
      <c r="BL136" s="146" t="str">
        <f>_xlfn.IFNA(IF(IFERROR(FIND("Part &amp; Part",B136),-10)&gt;0,"PP",IF(OR(LEFT(B136,25)="Residential Interest Only",INDEX(Producer!$P:$P,MATCH($D136,Producer!$A:$A,0))="IO",INDEX(Producer!$P:$P,MATCH($D136,Producer!$A:$A,0))="Retirement Interest Only"),"IO",IF($C136="BuyToLet","CI, IO","CI"))),"")</f>
        <v/>
      </c>
      <c r="BM136" s="152" t="str">
        <f>_xlfn.IFNA(IF(BL136="IO",100%,IF(AND(INDEX(Producer!$P:$P,MATCH($D136,Producer!$A:$A,0))="Residential Interest Only Part &amp; Part",BK136=75),80%,IF(C136="BuyToLet",100%,IF(BL136="Interest Only",100%,IF(AND(INDEX(Producer!$P:$P,MATCH($D136,Producer!$A:$A,0))="Residential Interest Only Part &amp; Part",BK136=60),100%,""))))),"")</f>
        <v/>
      </c>
      <c r="BN136" s="218" t="str">
        <f>_xlfn.IFNA(IF(VALUE(INDEX(Producer!$H:$H,MATCH($D136,Producer!$A:$A,0)))=0,"",VALUE(INDEX(Producer!$H:$H,MATCH($D136,Producer!$A:$A,0)))),"")</f>
        <v/>
      </c>
      <c r="BO136" s="153"/>
      <c r="BP136" s="153"/>
      <c r="BQ136" s="219" t="str">
        <f t="shared" si="66"/>
        <v/>
      </c>
      <c r="BR136" s="146"/>
      <c r="BS136" s="146"/>
      <c r="BT136" s="146"/>
      <c r="BU136" s="146"/>
      <c r="BV136" s="219" t="str">
        <f t="shared" si="67"/>
        <v/>
      </c>
      <c r="BW136" s="146"/>
      <c r="BX136" s="146"/>
      <c r="BY136" s="146" t="str">
        <f t="shared" si="68"/>
        <v/>
      </c>
      <c r="BZ136" s="146" t="str">
        <f t="shared" si="69"/>
        <v/>
      </c>
      <c r="CA136" s="146" t="str">
        <f t="shared" si="70"/>
        <v/>
      </c>
      <c r="CB136" s="146" t="str">
        <f t="shared" si="71"/>
        <v/>
      </c>
      <c r="CC136" s="146" t="str">
        <f>_xlfn.IFNA(IF(INDEX(Producer!$P:$P,MATCH($D136,Producer!$A:$A,0))="Help to Buy","Only available","No"),"")</f>
        <v/>
      </c>
      <c r="CD136" s="146" t="str">
        <f>_xlfn.IFNA(IF(INDEX(Producer!$P:$P,MATCH($D136,Producer!$A:$A,0))="Shared Ownership","Only available","No"),"")</f>
        <v/>
      </c>
      <c r="CE136" s="146" t="str">
        <f>_xlfn.IFNA(IF(INDEX(Producer!$P:$P,MATCH($D136,Producer!$A:$A,0))="Right to Buy","Only available","No"),"")</f>
        <v/>
      </c>
      <c r="CF136" s="146" t="str">
        <f t="shared" si="72"/>
        <v/>
      </c>
      <c r="CG136" s="146" t="str">
        <f>_xlfn.IFNA(IF(INDEX(Producer!$P:$P,MATCH($D136,Producer!$A:$A,0))="Retirement Interest Only","Only available","No"),"")</f>
        <v/>
      </c>
      <c r="CH136" s="146" t="str">
        <f t="shared" si="73"/>
        <v/>
      </c>
      <c r="CI136" s="146" t="str">
        <f>_xlfn.IFNA(IF(INDEX(Producer!$P:$P,MATCH($D136,Producer!$A:$A,0))="Intermediary Holiday Let","Only available","No"),"")</f>
        <v/>
      </c>
      <c r="CJ136" s="146" t="str">
        <f t="shared" si="74"/>
        <v/>
      </c>
      <c r="CK136" s="146" t="str">
        <f>_xlfn.IFNA(IF(OR(INDEX(Producer!$P:$P,MATCH($D136,Producer!$A:$A,0))="Intermediary Small HMO",INDEX(Producer!$P:$P,MATCH($D136,Producer!$A:$A,0))="Intermediary Large HMO"),"Only available","No"),"")</f>
        <v/>
      </c>
      <c r="CL136" s="146" t="str">
        <f t="shared" si="75"/>
        <v/>
      </c>
      <c r="CM136" s="146" t="str">
        <f t="shared" si="76"/>
        <v/>
      </c>
      <c r="CN136" s="146" t="str">
        <f t="shared" si="77"/>
        <v/>
      </c>
      <c r="CO136" s="146" t="str">
        <f t="shared" si="78"/>
        <v/>
      </c>
      <c r="CP136" s="146" t="str">
        <f t="shared" si="79"/>
        <v/>
      </c>
      <c r="CQ136" s="146" t="str">
        <f t="shared" si="80"/>
        <v/>
      </c>
      <c r="CR136" s="146" t="str">
        <f t="shared" si="81"/>
        <v/>
      </c>
      <c r="CS136" s="146" t="str">
        <f t="shared" si="82"/>
        <v/>
      </c>
      <c r="CT136" s="146" t="str">
        <f t="shared" si="83"/>
        <v/>
      </c>
      <c r="CU136" s="146"/>
    </row>
    <row r="137" spans="1:99" ht="16.399999999999999" customHeight="1" x14ac:dyDescent="0.35">
      <c r="A137" s="145" t="str">
        <f t="shared" si="56"/>
        <v/>
      </c>
      <c r="B137" s="145" t="str">
        <f>_xlfn.IFNA(_xlfn.CONCAT(INDEX(Producer!$P:$P,MATCH($D137,Producer!$A:$A,0))," ",IF(INDEX(Producer!$N:$N,MATCH($D137,Producer!$A:$A,0))="Yes","Green ",""),IF(AND(INDEX(Producer!$L:$L,MATCH($D137,Producer!$A:$A,0))="No",INDEX(Producer!$C:$C,MATCH($D137,Producer!$A:$A,0))="Fixed"),"Flexit ",""),INDEX(Producer!$B:$B,MATCH($D137,Producer!$A:$A,0))," Year ",INDEX(Producer!$C:$C,MATCH($D137,Producer!$A:$A,0))," ",VALUE(INDEX(Producer!$E:$E,MATCH($D137,Producer!$A:$A,0)))*100,"% LTV",IF(INDEX(Producer!$N:$N,MATCH($D137,Producer!$A:$A,0))="Yes"," (EPC A-C)","")," - ",IF(INDEX(Producer!$D:$D,MATCH($D137,Producer!$A:$A,0))="DLY","Daily","Annual")),"")</f>
        <v/>
      </c>
      <c r="C137" s="146" t="str">
        <f>_xlfn.IFNA(INDEX(Producer!$Q:$Q,MATCH($D137,Producer!$A:$A,0)),"")</f>
        <v/>
      </c>
      <c r="D137" s="146" t="str">
        <f>IFERROR(VALUE(MID(Producer!$R$2,IF($D136="",1/0,FIND(_xlfn.CONCAT($D135,$D136),Producer!$R$2)+10),5)),"")</f>
        <v/>
      </c>
      <c r="E137" s="146" t="str">
        <f t="shared" si="57"/>
        <v/>
      </c>
      <c r="F137" s="146"/>
      <c r="G137" s="147" t="str">
        <f>_xlfn.IFNA(VALUE(INDEX(Producer!$F:$F,MATCH($D137,Producer!$A:$A,0)))*100,"")</f>
        <v/>
      </c>
      <c r="H137" s="216" t="str">
        <f>_xlfn.IFNA(IFERROR(DATEVALUE(INDEX(Producer!$M:$M,MATCH($D137,Producer!$A:$A,0))),(INDEX(Producer!$M:$M,MATCH($D137,Producer!$A:$A,0)))),"")</f>
        <v/>
      </c>
      <c r="I137" s="217" t="str">
        <f>_xlfn.IFNA(VALUE(INDEX(Producer!$B:$B,MATCH($D137,Producer!$A:$A,0)))*12,"")</f>
        <v/>
      </c>
      <c r="J137" s="146" t="str">
        <f>_xlfn.IFNA(IF(C137="Residential",IF(VALUE(INDEX(Producer!$B:$B,MATCH($D137,Producer!$A:$A,0)))&lt;5,Constants!$C$10,""),IF(VALUE(INDEX(Producer!$B:$B,MATCH($D137,Producer!$A:$A,0)))&lt;5,Constants!$C$11,"")),"")</f>
        <v/>
      </c>
      <c r="K137" s="216" t="str">
        <f>_xlfn.IFNA(IF(($I137)&lt;60,DATE(YEAR(H137)+(5-VALUE(INDEX(Producer!$B:$B,MATCH($D137,Producer!$A:$A,0)))),MONTH(H137),DAY(H137)),""),"")</f>
        <v/>
      </c>
      <c r="L137" s="153" t="str">
        <f t="shared" si="58"/>
        <v/>
      </c>
      <c r="M137" s="146"/>
      <c r="N137" s="148"/>
      <c r="O137" s="148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 t="str">
        <f>IF(D137="","",IF(C137="Residential",Constants!$B$10,Constants!$B$11))</f>
        <v/>
      </c>
      <c r="AL137" s="146" t="str">
        <f t="shared" si="59"/>
        <v/>
      </c>
      <c r="AM137" s="206" t="str">
        <f t="shared" si="60"/>
        <v/>
      </c>
      <c r="AN137" s="146" t="str">
        <f t="shared" si="61"/>
        <v/>
      </c>
      <c r="AO137" s="149" t="str">
        <f t="shared" si="62"/>
        <v/>
      </c>
      <c r="AP137" s="150" t="str">
        <f t="shared" si="63"/>
        <v/>
      </c>
      <c r="AQ137" s="146" t="str">
        <f>IFERROR(_xlfn.IFNA(IF($BA137="No",0,IF(INDEX(Constants!B:B,MATCH(($I137/12),Constants!$A:$A,0))=0,0,INDEX(Constants!B:B,MATCH(($I137/12),Constants!$A:$A,0)))),0),"")</f>
        <v/>
      </c>
      <c r="AR137" s="146" t="str">
        <f>IFERROR(_xlfn.IFNA(IF($BA137="No",0,IF(INDEX(Constants!C:C,MATCH(($I137/12),Constants!$A:$A,0))=0,0,INDEX(Constants!C:C,MATCH(($I137/12),Constants!$A:$A,0)))),0),"")</f>
        <v/>
      </c>
      <c r="AS137" s="146" t="str">
        <f>IFERROR(_xlfn.IFNA(IF($BA137="No",0,IF(INDEX(Constants!D:D,MATCH(($I137/12),Constants!$A:$A,0))=0,0,INDEX(Constants!D:D,MATCH(($I137/12),Constants!$A:$A,0)))),0),"")</f>
        <v/>
      </c>
      <c r="AT137" s="146" t="str">
        <f>IFERROR(_xlfn.IFNA(IF($BA137="No",0,IF(INDEX(Constants!E:E,MATCH(($I137/12),Constants!$A:$A,0))=0,0,INDEX(Constants!E:E,MATCH(($I137/12),Constants!$A:$A,0)))),0),"")</f>
        <v/>
      </c>
      <c r="AU137" s="146" t="str">
        <f>IFERROR(_xlfn.IFNA(IF($BA137="No",0,IF(INDEX(Constants!F:F,MATCH(($I137/12),Constants!$A:$A,0))=0,0,INDEX(Constants!F:F,MATCH(($I137/12),Constants!$A:$A,0)))),0),"")</f>
        <v/>
      </c>
      <c r="AV137" s="146" t="str">
        <f>IFERROR(_xlfn.IFNA(IF($BA137="No",0,IF(INDEX(Constants!G:G,MATCH(($I137/12),Constants!$A:$A,0))=0,0,INDEX(Constants!G:G,MATCH(($I137/12),Constants!$A:$A,0)))),0),"")</f>
        <v/>
      </c>
      <c r="AW137" s="146" t="str">
        <f>IFERROR(_xlfn.IFNA(IF($BA137="No",0,IF(INDEX(Constants!H:H,MATCH(($I137/12),Constants!$A:$A,0))=0,0,INDEX(Constants!H:H,MATCH(($I137/12),Constants!$A:$A,0)))),0),"")</f>
        <v/>
      </c>
      <c r="AX137" s="146" t="str">
        <f>IFERROR(_xlfn.IFNA(IF($BA137="No",0,IF(INDEX(Constants!I:I,MATCH(($I137/12),Constants!$A:$A,0))=0,0,INDEX(Constants!I:I,MATCH(($I137/12),Constants!$A:$A,0)))),0),"")</f>
        <v/>
      </c>
      <c r="AY137" s="146" t="str">
        <f>IFERROR(_xlfn.IFNA(IF($BA137="No",0,IF(INDEX(Constants!J:J,MATCH(($I137/12),Constants!$A:$A,0))=0,0,INDEX(Constants!J:J,MATCH(($I137/12),Constants!$A:$A,0)))),0),"")</f>
        <v/>
      </c>
      <c r="AZ137" s="146" t="str">
        <f>IFERROR(_xlfn.IFNA(IF($BA137="No",0,IF(INDEX(Constants!K:K,MATCH(($I137/12),Constants!$A:$A,0))=0,0,INDEX(Constants!K:K,MATCH(($I137/12),Constants!$A:$A,0)))),0),"")</f>
        <v/>
      </c>
      <c r="BA137" s="147" t="str">
        <f>_xlfn.IFNA(INDEX(Producer!$L:$L,MATCH($D137,Producer!$A:$A,0)),"")</f>
        <v/>
      </c>
      <c r="BB137" s="146" t="str">
        <f>IFERROR(IF(AQ137=0,"",IF(($I137/12)=15,_xlfn.CONCAT(Constants!$N$7,TEXT(DATE(YEAR(H137)-(($I137/12)-3),MONTH(H137),DAY(H137)),"dd/mm/yyyy"),", ",Constants!$P$7,TEXT(DATE(YEAR(H137)-(($I137/12)-8),MONTH(H137),DAY(H137)),"dd/mm/yyyy"),", ",Constants!$T$7,TEXT(DATE(YEAR(H137)-(($I137/12)-11),MONTH(H137),DAY(H137)),"dd/mm/yyyy"),", ",Constants!$V$7,TEXT(DATE(YEAR(H137)-(($I137/12)-13),MONTH(H137),DAY(H137)),"dd/mm/yyyy"),", ",Constants!$W$7,TEXT($H137,"dd/mm/yyyy")),IF(($I137/12)=10,_xlfn.CONCAT(Constants!$N$6,TEXT(DATE(YEAR(H137)-(($I137/12)-2),MONTH(H137),DAY(H137)),"dd/mm/yyyy"),", ",Constants!$P$6,TEXT(DATE(YEAR(H137)-(($I137/12)-6),MONTH(H137),DAY(H137)),"dd/mm/yyyy"),", ",Constants!$T$6,TEXT(DATE(YEAR(H137)-(($I137/12)-8),MONTH(H137),DAY(H137)),"dd/mm/yyyy"),", ",Constants!$V$6,TEXT(DATE(YEAR(H137)-(($I137/12)-9),MONTH(H137),DAY(H137)),"dd/mm/yyyy"),", ",Constants!$W$6,TEXT($H137,"dd/mm/yyyy")),IF(($I137/12)=5,_xlfn.CONCAT(Constants!$N$5,TEXT(DATE(YEAR(H137)-(($I137/12)-1),MONTH(H137),DAY(H137)),"dd/mm/yyyy"),", ",Constants!$O$5,TEXT(DATE(YEAR(H137)-(($I137/12)-2),MONTH(H137),DAY(H137)),"dd/mm/yyyy"),", ",Constants!$P$5,TEXT(DATE(YEAR(H137)-(($I137/12)-3),MONTH(H137),DAY(H137)),"dd/mm/yyyy"),", ",Constants!$Q$5,TEXT(DATE(YEAR(H137)-(($I137/12)-4),MONTH(H137),DAY(H137)),"dd/mm/yyyy"),", ",Constants!$R$5,TEXT($H137,"dd/mm/yyyy")),IF(($I137/12)=3,_xlfn.CONCAT(Constants!$N$4,TEXT(DATE(YEAR(H137)-(($I137/12)-1),MONTH(H137),DAY(H137)),"dd/mm/yyyy"),", ",Constants!$O$4,TEXT(DATE(YEAR(H137)-(($I137/12)-2),MONTH(H137),DAY(H137)),"dd/mm/yyyy"),", ",Constants!$P$4,TEXT($H137,"dd/mm/yyyy")),IF(($I137/12)=2,_xlfn.CONCAT(Constants!$N$3,TEXT(DATE(YEAR(H137)-(($I137/12)-1),MONTH(H137),DAY(H137)),"dd/mm/yyyy"),", ",Constants!$O$3,TEXT($H137,"dd/mm/yyyy")),IF(($I137/12)=1,_xlfn.CONCAT(Constants!$N$2,TEXT($H137,"dd/mm/yyyy")),"Update Constants"))))))),"")</f>
        <v/>
      </c>
      <c r="BC137" s="147" t="str">
        <f>_xlfn.IFNA(VALUE(INDEX(Producer!$K:$K,MATCH($D137,Producer!$A:$A,0))),"")</f>
        <v/>
      </c>
      <c r="BD137" s="147" t="str">
        <f>_xlfn.IFNA(INDEX(Producer!$I:$I,MATCH($D137,Producer!$A:$A,0)),"")</f>
        <v/>
      </c>
      <c r="BE137" s="147" t="str">
        <f t="shared" si="64"/>
        <v/>
      </c>
      <c r="BF137" s="147"/>
      <c r="BG137" s="147"/>
      <c r="BH137" s="151" t="str">
        <f>_xlfn.IFNA(INDEX(Constants!$B:$B,MATCH(BC137,Constants!A:A,0)),"")</f>
        <v/>
      </c>
      <c r="BI137" s="147" t="str">
        <f>IF(LEFT(B137,15)="Limited Company",Constants!$D$16,IFERROR(_xlfn.IFNA(IF(C137="Residential",IF(BK137&lt;75,INDEX(Constants!$B:$B,MATCH(VALUE(60)/100,Constants!$A:$A,0)),INDEX(Constants!$B:$B,MATCH(VALUE(BK137)/100,Constants!$A:$A,0))),IF(BK137&lt;60,INDEX(Constants!$C:$C,MATCH(VALUE(60)/100,Constants!$A:$A,0)),INDEX(Constants!$C:$C,MATCH(VALUE(BK137)/100,Constants!$A:$A,0)))),""),""))</f>
        <v/>
      </c>
      <c r="BJ137" s="147" t="str">
        <f t="shared" si="65"/>
        <v/>
      </c>
      <c r="BK137" s="147" t="str">
        <f>_xlfn.IFNA(VALUE(INDEX(Producer!$E:$E,MATCH($D137,Producer!$A:$A,0)))*100,"")</f>
        <v/>
      </c>
      <c r="BL137" s="146" t="str">
        <f>_xlfn.IFNA(IF(IFERROR(FIND("Part &amp; Part",B137),-10)&gt;0,"PP",IF(OR(LEFT(B137,25)="Residential Interest Only",INDEX(Producer!$P:$P,MATCH($D137,Producer!$A:$A,0))="IO",INDEX(Producer!$P:$P,MATCH($D137,Producer!$A:$A,0))="Retirement Interest Only"),"IO",IF($C137="BuyToLet","CI, IO","CI"))),"")</f>
        <v/>
      </c>
      <c r="BM137" s="152" t="str">
        <f>_xlfn.IFNA(IF(BL137="IO",100%,IF(AND(INDEX(Producer!$P:$P,MATCH($D137,Producer!$A:$A,0))="Residential Interest Only Part &amp; Part",BK137=75),80%,IF(C137="BuyToLet",100%,IF(BL137="Interest Only",100%,IF(AND(INDEX(Producer!$P:$P,MATCH($D137,Producer!$A:$A,0))="Residential Interest Only Part &amp; Part",BK137=60),100%,""))))),"")</f>
        <v/>
      </c>
      <c r="BN137" s="218" t="str">
        <f>_xlfn.IFNA(IF(VALUE(INDEX(Producer!$H:$H,MATCH($D137,Producer!$A:$A,0)))=0,"",VALUE(INDEX(Producer!$H:$H,MATCH($D137,Producer!$A:$A,0)))),"")</f>
        <v/>
      </c>
      <c r="BO137" s="153"/>
      <c r="BP137" s="153"/>
      <c r="BQ137" s="219" t="str">
        <f t="shared" si="66"/>
        <v/>
      </c>
      <c r="BR137" s="146"/>
      <c r="BS137" s="146"/>
      <c r="BT137" s="146"/>
      <c r="BU137" s="146"/>
      <c r="BV137" s="219" t="str">
        <f t="shared" si="67"/>
        <v/>
      </c>
      <c r="BW137" s="146"/>
      <c r="BX137" s="146"/>
      <c r="BY137" s="146" t="str">
        <f t="shared" si="68"/>
        <v/>
      </c>
      <c r="BZ137" s="146" t="str">
        <f t="shared" si="69"/>
        <v/>
      </c>
      <c r="CA137" s="146" t="str">
        <f t="shared" si="70"/>
        <v/>
      </c>
      <c r="CB137" s="146" t="str">
        <f t="shared" si="71"/>
        <v/>
      </c>
      <c r="CC137" s="146" t="str">
        <f>_xlfn.IFNA(IF(INDEX(Producer!$P:$P,MATCH($D137,Producer!$A:$A,0))="Help to Buy","Only available","No"),"")</f>
        <v/>
      </c>
      <c r="CD137" s="146" t="str">
        <f>_xlfn.IFNA(IF(INDEX(Producer!$P:$P,MATCH($D137,Producer!$A:$A,0))="Shared Ownership","Only available","No"),"")</f>
        <v/>
      </c>
      <c r="CE137" s="146" t="str">
        <f>_xlfn.IFNA(IF(INDEX(Producer!$P:$P,MATCH($D137,Producer!$A:$A,0))="Right to Buy","Only available","No"),"")</f>
        <v/>
      </c>
      <c r="CF137" s="146" t="str">
        <f t="shared" si="72"/>
        <v/>
      </c>
      <c r="CG137" s="146" t="str">
        <f>_xlfn.IFNA(IF(INDEX(Producer!$P:$P,MATCH($D137,Producer!$A:$A,0))="Retirement Interest Only","Only available","No"),"")</f>
        <v/>
      </c>
      <c r="CH137" s="146" t="str">
        <f t="shared" si="73"/>
        <v/>
      </c>
      <c r="CI137" s="146" t="str">
        <f>_xlfn.IFNA(IF(INDEX(Producer!$P:$P,MATCH($D137,Producer!$A:$A,0))="Intermediary Holiday Let","Only available","No"),"")</f>
        <v/>
      </c>
      <c r="CJ137" s="146" t="str">
        <f t="shared" si="74"/>
        <v/>
      </c>
      <c r="CK137" s="146" t="str">
        <f>_xlfn.IFNA(IF(OR(INDEX(Producer!$P:$P,MATCH($D137,Producer!$A:$A,0))="Intermediary Small HMO",INDEX(Producer!$P:$P,MATCH($D137,Producer!$A:$A,0))="Intermediary Large HMO"),"Only available","No"),"")</f>
        <v/>
      </c>
      <c r="CL137" s="146" t="str">
        <f t="shared" si="75"/>
        <v/>
      </c>
      <c r="CM137" s="146" t="str">
        <f t="shared" si="76"/>
        <v/>
      </c>
      <c r="CN137" s="146" t="str">
        <f t="shared" si="77"/>
        <v/>
      </c>
      <c r="CO137" s="146" t="str">
        <f t="shared" si="78"/>
        <v/>
      </c>
      <c r="CP137" s="146" t="str">
        <f t="shared" si="79"/>
        <v/>
      </c>
      <c r="CQ137" s="146" t="str">
        <f t="shared" si="80"/>
        <v/>
      </c>
      <c r="CR137" s="146" t="str">
        <f t="shared" si="81"/>
        <v/>
      </c>
      <c r="CS137" s="146" t="str">
        <f t="shared" si="82"/>
        <v/>
      </c>
      <c r="CT137" s="146" t="str">
        <f t="shared" si="83"/>
        <v/>
      </c>
      <c r="CU137" s="146"/>
    </row>
    <row r="138" spans="1:99" ht="16.399999999999999" customHeight="1" x14ac:dyDescent="0.35">
      <c r="A138" s="145" t="str">
        <f t="shared" si="56"/>
        <v/>
      </c>
      <c r="B138" s="145" t="str">
        <f>_xlfn.IFNA(_xlfn.CONCAT(INDEX(Producer!$P:$P,MATCH($D138,Producer!$A:$A,0))," ",IF(INDEX(Producer!$N:$N,MATCH($D138,Producer!$A:$A,0))="Yes","Green ",""),IF(AND(INDEX(Producer!$L:$L,MATCH($D138,Producer!$A:$A,0))="No",INDEX(Producer!$C:$C,MATCH($D138,Producer!$A:$A,0))="Fixed"),"Flexit ",""),INDEX(Producer!$B:$B,MATCH($D138,Producer!$A:$A,0))," Year ",INDEX(Producer!$C:$C,MATCH($D138,Producer!$A:$A,0))," ",VALUE(INDEX(Producer!$E:$E,MATCH($D138,Producer!$A:$A,0)))*100,"% LTV",IF(INDEX(Producer!$N:$N,MATCH($D138,Producer!$A:$A,0))="Yes"," (EPC A-C)","")," - ",IF(INDEX(Producer!$D:$D,MATCH($D138,Producer!$A:$A,0))="DLY","Daily","Annual")),"")</f>
        <v/>
      </c>
      <c r="C138" s="146" t="str">
        <f>_xlfn.IFNA(INDEX(Producer!$Q:$Q,MATCH($D138,Producer!$A:$A,0)),"")</f>
        <v/>
      </c>
      <c r="D138" s="146" t="str">
        <f>IFERROR(VALUE(MID(Producer!$R$2,IF($D137="",1/0,FIND(_xlfn.CONCAT($D136,$D137),Producer!$R$2)+10),5)),"")</f>
        <v/>
      </c>
      <c r="E138" s="146" t="str">
        <f t="shared" si="57"/>
        <v/>
      </c>
      <c r="F138" s="146"/>
      <c r="G138" s="147" t="str">
        <f>_xlfn.IFNA(VALUE(INDEX(Producer!$F:$F,MATCH($D138,Producer!$A:$A,0)))*100,"")</f>
        <v/>
      </c>
      <c r="H138" s="216" t="str">
        <f>_xlfn.IFNA(IFERROR(DATEVALUE(INDEX(Producer!$M:$M,MATCH($D138,Producer!$A:$A,0))),(INDEX(Producer!$M:$M,MATCH($D138,Producer!$A:$A,0)))),"")</f>
        <v/>
      </c>
      <c r="I138" s="217" t="str">
        <f>_xlfn.IFNA(VALUE(INDEX(Producer!$B:$B,MATCH($D138,Producer!$A:$A,0)))*12,"")</f>
        <v/>
      </c>
      <c r="J138" s="146" t="str">
        <f>_xlfn.IFNA(IF(C138="Residential",IF(VALUE(INDEX(Producer!$B:$B,MATCH($D138,Producer!$A:$A,0)))&lt;5,Constants!$C$10,""),IF(VALUE(INDEX(Producer!$B:$B,MATCH($D138,Producer!$A:$A,0)))&lt;5,Constants!$C$11,"")),"")</f>
        <v/>
      </c>
      <c r="K138" s="216" t="str">
        <f>_xlfn.IFNA(IF(($I138)&lt;60,DATE(YEAR(H138)+(5-VALUE(INDEX(Producer!$B:$B,MATCH($D138,Producer!$A:$A,0)))),MONTH(H138),DAY(H138)),""),"")</f>
        <v/>
      </c>
      <c r="L138" s="153" t="str">
        <f t="shared" si="58"/>
        <v/>
      </c>
      <c r="M138" s="146"/>
      <c r="N138" s="148"/>
      <c r="O138" s="148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 t="str">
        <f>IF(D138="","",IF(C138="Residential",Constants!$B$10,Constants!$B$11))</f>
        <v/>
      </c>
      <c r="AL138" s="146" t="str">
        <f t="shared" si="59"/>
        <v/>
      </c>
      <c r="AM138" s="206" t="str">
        <f t="shared" si="60"/>
        <v/>
      </c>
      <c r="AN138" s="146" t="str">
        <f t="shared" si="61"/>
        <v/>
      </c>
      <c r="AO138" s="149" t="str">
        <f t="shared" si="62"/>
        <v/>
      </c>
      <c r="AP138" s="150" t="str">
        <f t="shared" si="63"/>
        <v/>
      </c>
      <c r="AQ138" s="146" t="str">
        <f>IFERROR(_xlfn.IFNA(IF($BA138="No",0,IF(INDEX(Constants!B:B,MATCH(($I138/12),Constants!$A:$A,0))=0,0,INDEX(Constants!B:B,MATCH(($I138/12),Constants!$A:$A,0)))),0),"")</f>
        <v/>
      </c>
      <c r="AR138" s="146" t="str">
        <f>IFERROR(_xlfn.IFNA(IF($BA138="No",0,IF(INDEX(Constants!C:C,MATCH(($I138/12),Constants!$A:$A,0))=0,0,INDEX(Constants!C:C,MATCH(($I138/12),Constants!$A:$A,0)))),0),"")</f>
        <v/>
      </c>
      <c r="AS138" s="146" t="str">
        <f>IFERROR(_xlfn.IFNA(IF($BA138="No",0,IF(INDEX(Constants!D:D,MATCH(($I138/12),Constants!$A:$A,0))=0,0,INDEX(Constants!D:D,MATCH(($I138/12),Constants!$A:$A,0)))),0),"")</f>
        <v/>
      </c>
      <c r="AT138" s="146" t="str">
        <f>IFERROR(_xlfn.IFNA(IF($BA138="No",0,IF(INDEX(Constants!E:E,MATCH(($I138/12),Constants!$A:$A,0))=0,0,INDEX(Constants!E:E,MATCH(($I138/12),Constants!$A:$A,0)))),0),"")</f>
        <v/>
      </c>
      <c r="AU138" s="146" t="str">
        <f>IFERROR(_xlfn.IFNA(IF($BA138="No",0,IF(INDEX(Constants!F:F,MATCH(($I138/12),Constants!$A:$A,0))=0,0,INDEX(Constants!F:F,MATCH(($I138/12),Constants!$A:$A,0)))),0),"")</f>
        <v/>
      </c>
      <c r="AV138" s="146" t="str">
        <f>IFERROR(_xlfn.IFNA(IF($BA138="No",0,IF(INDEX(Constants!G:G,MATCH(($I138/12),Constants!$A:$A,0))=0,0,INDEX(Constants!G:G,MATCH(($I138/12),Constants!$A:$A,0)))),0),"")</f>
        <v/>
      </c>
      <c r="AW138" s="146" t="str">
        <f>IFERROR(_xlfn.IFNA(IF($BA138="No",0,IF(INDEX(Constants!H:H,MATCH(($I138/12),Constants!$A:$A,0))=0,0,INDEX(Constants!H:H,MATCH(($I138/12),Constants!$A:$A,0)))),0),"")</f>
        <v/>
      </c>
      <c r="AX138" s="146" t="str">
        <f>IFERROR(_xlfn.IFNA(IF($BA138="No",0,IF(INDEX(Constants!I:I,MATCH(($I138/12),Constants!$A:$A,0))=0,0,INDEX(Constants!I:I,MATCH(($I138/12),Constants!$A:$A,0)))),0),"")</f>
        <v/>
      </c>
      <c r="AY138" s="146" t="str">
        <f>IFERROR(_xlfn.IFNA(IF($BA138="No",0,IF(INDEX(Constants!J:J,MATCH(($I138/12),Constants!$A:$A,0))=0,0,INDEX(Constants!J:J,MATCH(($I138/12),Constants!$A:$A,0)))),0),"")</f>
        <v/>
      </c>
      <c r="AZ138" s="146" t="str">
        <f>IFERROR(_xlfn.IFNA(IF($BA138="No",0,IF(INDEX(Constants!K:K,MATCH(($I138/12),Constants!$A:$A,0))=0,0,INDEX(Constants!K:K,MATCH(($I138/12),Constants!$A:$A,0)))),0),"")</f>
        <v/>
      </c>
      <c r="BA138" s="147" t="str">
        <f>_xlfn.IFNA(INDEX(Producer!$L:$L,MATCH($D138,Producer!$A:$A,0)),"")</f>
        <v/>
      </c>
      <c r="BB138" s="146" t="str">
        <f>IFERROR(IF(AQ138=0,"",IF(($I138/12)=15,_xlfn.CONCAT(Constants!$N$7,TEXT(DATE(YEAR(H138)-(($I138/12)-3),MONTH(H138),DAY(H138)),"dd/mm/yyyy"),", ",Constants!$P$7,TEXT(DATE(YEAR(H138)-(($I138/12)-8),MONTH(H138),DAY(H138)),"dd/mm/yyyy"),", ",Constants!$T$7,TEXT(DATE(YEAR(H138)-(($I138/12)-11),MONTH(H138),DAY(H138)),"dd/mm/yyyy"),", ",Constants!$V$7,TEXT(DATE(YEAR(H138)-(($I138/12)-13),MONTH(H138),DAY(H138)),"dd/mm/yyyy"),", ",Constants!$W$7,TEXT($H138,"dd/mm/yyyy")),IF(($I138/12)=10,_xlfn.CONCAT(Constants!$N$6,TEXT(DATE(YEAR(H138)-(($I138/12)-2),MONTH(H138),DAY(H138)),"dd/mm/yyyy"),", ",Constants!$P$6,TEXT(DATE(YEAR(H138)-(($I138/12)-6),MONTH(H138),DAY(H138)),"dd/mm/yyyy"),", ",Constants!$T$6,TEXT(DATE(YEAR(H138)-(($I138/12)-8),MONTH(H138),DAY(H138)),"dd/mm/yyyy"),", ",Constants!$V$6,TEXT(DATE(YEAR(H138)-(($I138/12)-9),MONTH(H138),DAY(H138)),"dd/mm/yyyy"),", ",Constants!$W$6,TEXT($H138,"dd/mm/yyyy")),IF(($I138/12)=5,_xlfn.CONCAT(Constants!$N$5,TEXT(DATE(YEAR(H138)-(($I138/12)-1),MONTH(H138),DAY(H138)),"dd/mm/yyyy"),", ",Constants!$O$5,TEXT(DATE(YEAR(H138)-(($I138/12)-2),MONTH(H138),DAY(H138)),"dd/mm/yyyy"),", ",Constants!$P$5,TEXT(DATE(YEAR(H138)-(($I138/12)-3),MONTH(H138),DAY(H138)),"dd/mm/yyyy"),", ",Constants!$Q$5,TEXT(DATE(YEAR(H138)-(($I138/12)-4),MONTH(H138),DAY(H138)),"dd/mm/yyyy"),", ",Constants!$R$5,TEXT($H138,"dd/mm/yyyy")),IF(($I138/12)=3,_xlfn.CONCAT(Constants!$N$4,TEXT(DATE(YEAR(H138)-(($I138/12)-1),MONTH(H138),DAY(H138)),"dd/mm/yyyy"),", ",Constants!$O$4,TEXT(DATE(YEAR(H138)-(($I138/12)-2),MONTH(H138),DAY(H138)),"dd/mm/yyyy"),", ",Constants!$P$4,TEXT($H138,"dd/mm/yyyy")),IF(($I138/12)=2,_xlfn.CONCAT(Constants!$N$3,TEXT(DATE(YEAR(H138)-(($I138/12)-1),MONTH(H138),DAY(H138)),"dd/mm/yyyy"),", ",Constants!$O$3,TEXT($H138,"dd/mm/yyyy")),IF(($I138/12)=1,_xlfn.CONCAT(Constants!$N$2,TEXT($H138,"dd/mm/yyyy")),"Update Constants"))))))),"")</f>
        <v/>
      </c>
      <c r="BC138" s="147" t="str">
        <f>_xlfn.IFNA(VALUE(INDEX(Producer!$K:$K,MATCH($D138,Producer!$A:$A,0))),"")</f>
        <v/>
      </c>
      <c r="BD138" s="147" t="str">
        <f>_xlfn.IFNA(INDEX(Producer!$I:$I,MATCH($D138,Producer!$A:$A,0)),"")</f>
        <v/>
      </c>
      <c r="BE138" s="147" t="str">
        <f t="shared" si="64"/>
        <v/>
      </c>
      <c r="BF138" s="147"/>
      <c r="BG138" s="147"/>
      <c r="BH138" s="151" t="str">
        <f>_xlfn.IFNA(INDEX(Constants!$B:$B,MATCH(BC138,Constants!A:A,0)),"")</f>
        <v/>
      </c>
      <c r="BI138" s="147" t="str">
        <f>IF(LEFT(B138,15)="Limited Company",Constants!$D$16,IFERROR(_xlfn.IFNA(IF(C138="Residential",IF(BK138&lt;75,INDEX(Constants!$B:$B,MATCH(VALUE(60)/100,Constants!$A:$A,0)),INDEX(Constants!$B:$B,MATCH(VALUE(BK138)/100,Constants!$A:$A,0))),IF(BK138&lt;60,INDEX(Constants!$C:$C,MATCH(VALUE(60)/100,Constants!$A:$A,0)),INDEX(Constants!$C:$C,MATCH(VALUE(BK138)/100,Constants!$A:$A,0)))),""),""))</f>
        <v/>
      </c>
      <c r="BJ138" s="147" t="str">
        <f t="shared" si="65"/>
        <v/>
      </c>
      <c r="BK138" s="147" t="str">
        <f>_xlfn.IFNA(VALUE(INDEX(Producer!$E:$E,MATCH($D138,Producer!$A:$A,0)))*100,"")</f>
        <v/>
      </c>
      <c r="BL138" s="146" t="str">
        <f>_xlfn.IFNA(IF(IFERROR(FIND("Part &amp; Part",B138),-10)&gt;0,"PP",IF(OR(LEFT(B138,25)="Residential Interest Only",INDEX(Producer!$P:$P,MATCH($D138,Producer!$A:$A,0))="IO",INDEX(Producer!$P:$P,MATCH($D138,Producer!$A:$A,0))="Retirement Interest Only"),"IO",IF($C138="BuyToLet","CI, IO","CI"))),"")</f>
        <v/>
      </c>
      <c r="BM138" s="152" t="str">
        <f>_xlfn.IFNA(IF(BL138="IO",100%,IF(AND(INDEX(Producer!$P:$P,MATCH($D138,Producer!$A:$A,0))="Residential Interest Only Part &amp; Part",BK138=75),80%,IF(C138="BuyToLet",100%,IF(BL138="Interest Only",100%,IF(AND(INDEX(Producer!$P:$P,MATCH($D138,Producer!$A:$A,0))="Residential Interest Only Part &amp; Part",BK138=60),100%,""))))),"")</f>
        <v/>
      </c>
      <c r="BN138" s="218" t="str">
        <f>_xlfn.IFNA(IF(VALUE(INDEX(Producer!$H:$H,MATCH($D138,Producer!$A:$A,0)))=0,"",VALUE(INDEX(Producer!$H:$H,MATCH($D138,Producer!$A:$A,0)))),"")</f>
        <v/>
      </c>
      <c r="BO138" s="153"/>
      <c r="BP138" s="153"/>
      <c r="BQ138" s="219" t="str">
        <f t="shared" si="66"/>
        <v/>
      </c>
      <c r="BR138" s="146"/>
      <c r="BS138" s="146"/>
      <c r="BT138" s="146"/>
      <c r="BU138" s="146"/>
      <c r="BV138" s="219" t="str">
        <f t="shared" si="67"/>
        <v/>
      </c>
      <c r="BW138" s="146"/>
      <c r="BX138" s="146"/>
      <c r="BY138" s="146" t="str">
        <f t="shared" si="68"/>
        <v/>
      </c>
      <c r="BZ138" s="146" t="str">
        <f t="shared" si="69"/>
        <v/>
      </c>
      <c r="CA138" s="146" t="str">
        <f t="shared" si="70"/>
        <v/>
      </c>
      <c r="CB138" s="146" t="str">
        <f t="shared" si="71"/>
        <v/>
      </c>
      <c r="CC138" s="146" t="str">
        <f>_xlfn.IFNA(IF(INDEX(Producer!$P:$P,MATCH($D138,Producer!$A:$A,0))="Help to Buy","Only available","No"),"")</f>
        <v/>
      </c>
      <c r="CD138" s="146" t="str">
        <f>_xlfn.IFNA(IF(INDEX(Producer!$P:$P,MATCH($D138,Producer!$A:$A,0))="Shared Ownership","Only available","No"),"")</f>
        <v/>
      </c>
      <c r="CE138" s="146" t="str">
        <f>_xlfn.IFNA(IF(INDEX(Producer!$P:$P,MATCH($D138,Producer!$A:$A,0))="Right to Buy","Only available","No"),"")</f>
        <v/>
      </c>
      <c r="CF138" s="146" t="str">
        <f t="shared" si="72"/>
        <v/>
      </c>
      <c r="CG138" s="146" t="str">
        <f>_xlfn.IFNA(IF(INDEX(Producer!$P:$P,MATCH($D138,Producer!$A:$A,0))="Retirement Interest Only","Only available","No"),"")</f>
        <v/>
      </c>
      <c r="CH138" s="146" t="str">
        <f t="shared" si="73"/>
        <v/>
      </c>
      <c r="CI138" s="146" t="str">
        <f>_xlfn.IFNA(IF(INDEX(Producer!$P:$P,MATCH($D138,Producer!$A:$A,0))="Intermediary Holiday Let","Only available","No"),"")</f>
        <v/>
      </c>
      <c r="CJ138" s="146" t="str">
        <f t="shared" si="74"/>
        <v/>
      </c>
      <c r="CK138" s="146" t="str">
        <f>_xlfn.IFNA(IF(OR(INDEX(Producer!$P:$P,MATCH($D138,Producer!$A:$A,0))="Intermediary Small HMO",INDEX(Producer!$P:$P,MATCH($D138,Producer!$A:$A,0))="Intermediary Large HMO"),"Only available","No"),"")</f>
        <v/>
      </c>
      <c r="CL138" s="146" t="str">
        <f t="shared" si="75"/>
        <v/>
      </c>
      <c r="CM138" s="146" t="str">
        <f t="shared" si="76"/>
        <v/>
      </c>
      <c r="CN138" s="146" t="str">
        <f t="shared" si="77"/>
        <v/>
      </c>
      <c r="CO138" s="146" t="str">
        <f t="shared" si="78"/>
        <v/>
      </c>
      <c r="CP138" s="146" t="str">
        <f t="shared" si="79"/>
        <v/>
      </c>
      <c r="CQ138" s="146" t="str">
        <f t="shared" si="80"/>
        <v/>
      </c>
      <c r="CR138" s="146" t="str">
        <f t="shared" si="81"/>
        <v/>
      </c>
      <c r="CS138" s="146" t="str">
        <f t="shared" si="82"/>
        <v/>
      </c>
      <c r="CT138" s="146" t="str">
        <f t="shared" si="83"/>
        <v/>
      </c>
      <c r="CU138" s="146"/>
    </row>
    <row r="139" spans="1:99" ht="16.399999999999999" customHeight="1" x14ac:dyDescent="0.35">
      <c r="A139" s="145" t="str">
        <f t="shared" si="56"/>
        <v/>
      </c>
      <c r="B139" s="145" t="str">
        <f>_xlfn.IFNA(_xlfn.CONCAT(INDEX(Producer!$P:$P,MATCH($D139,Producer!$A:$A,0))," ",IF(INDEX(Producer!$N:$N,MATCH($D139,Producer!$A:$A,0))="Yes","Green ",""),IF(AND(INDEX(Producer!$L:$L,MATCH($D139,Producer!$A:$A,0))="No",INDEX(Producer!$C:$C,MATCH($D139,Producer!$A:$A,0))="Fixed"),"Flexit ",""),INDEX(Producer!$B:$B,MATCH($D139,Producer!$A:$A,0))," Year ",INDEX(Producer!$C:$C,MATCH($D139,Producer!$A:$A,0))," ",VALUE(INDEX(Producer!$E:$E,MATCH($D139,Producer!$A:$A,0)))*100,"% LTV",IF(INDEX(Producer!$N:$N,MATCH($D139,Producer!$A:$A,0))="Yes"," (EPC A-C)","")," - ",IF(INDEX(Producer!$D:$D,MATCH($D139,Producer!$A:$A,0))="DLY","Daily","Annual")),"")</f>
        <v/>
      </c>
      <c r="C139" s="146" t="str">
        <f>_xlfn.IFNA(INDEX(Producer!$Q:$Q,MATCH($D139,Producer!$A:$A,0)),"")</f>
        <v/>
      </c>
      <c r="D139" s="146" t="str">
        <f>IFERROR(VALUE(MID(Producer!$R$2,IF($D138="",1/0,FIND(_xlfn.CONCAT($D137,$D138),Producer!$R$2)+10),5)),"")</f>
        <v/>
      </c>
      <c r="E139" s="146" t="str">
        <f t="shared" si="57"/>
        <v/>
      </c>
      <c r="F139" s="146"/>
      <c r="G139" s="147" t="str">
        <f>_xlfn.IFNA(VALUE(INDEX(Producer!$F:$F,MATCH($D139,Producer!$A:$A,0)))*100,"")</f>
        <v/>
      </c>
      <c r="H139" s="216" t="str">
        <f>_xlfn.IFNA(IFERROR(DATEVALUE(INDEX(Producer!$M:$M,MATCH($D139,Producer!$A:$A,0))),(INDEX(Producer!$M:$M,MATCH($D139,Producer!$A:$A,0)))),"")</f>
        <v/>
      </c>
      <c r="I139" s="217" t="str">
        <f>_xlfn.IFNA(VALUE(INDEX(Producer!$B:$B,MATCH($D139,Producer!$A:$A,0)))*12,"")</f>
        <v/>
      </c>
      <c r="J139" s="146" t="str">
        <f>_xlfn.IFNA(IF(C139="Residential",IF(VALUE(INDEX(Producer!$B:$B,MATCH($D139,Producer!$A:$A,0)))&lt;5,Constants!$C$10,""),IF(VALUE(INDEX(Producer!$B:$B,MATCH($D139,Producer!$A:$A,0)))&lt;5,Constants!$C$11,"")),"")</f>
        <v/>
      </c>
      <c r="K139" s="216" t="str">
        <f>_xlfn.IFNA(IF(($I139)&lt;60,DATE(YEAR(H139)+(5-VALUE(INDEX(Producer!$B:$B,MATCH($D139,Producer!$A:$A,0)))),MONTH(H139),DAY(H139)),""),"")</f>
        <v/>
      </c>
      <c r="L139" s="153" t="str">
        <f t="shared" si="58"/>
        <v/>
      </c>
      <c r="M139" s="146"/>
      <c r="N139" s="148"/>
      <c r="O139" s="148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46" t="str">
        <f>IF(D139="","",IF(C139="Residential",Constants!$B$10,Constants!$B$11))</f>
        <v/>
      </c>
      <c r="AL139" s="146" t="str">
        <f t="shared" si="59"/>
        <v/>
      </c>
      <c r="AM139" s="206" t="str">
        <f t="shared" si="60"/>
        <v/>
      </c>
      <c r="AN139" s="146" t="str">
        <f t="shared" si="61"/>
        <v/>
      </c>
      <c r="AO139" s="149" t="str">
        <f t="shared" si="62"/>
        <v/>
      </c>
      <c r="AP139" s="150" t="str">
        <f t="shared" si="63"/>
        <v/>
      </c>
      <c r="AQ139" s="146" t="str">
        <f>IFERROR(_xlfn.IFNA(IF($BA139="No",0,IF(INDEX(Constants!B:B,MATCH(($I139/12),Constants!$A:$A,0))=0,0,INDEX(Constants!B:B,MATCH(($I139/12),Constants!$A:$A,0)))),0),"")</f>
        <v/>
      </c>
      <c r="AR139" s="146" t="str">
        <f>IFERROR(_xlfn.IFNA(IF($BA139="No",0,IF(INDEX(Constants!C:C,MATCH(($I139/12),Constants!$A:$A,0))=0,0,INDEX(Constants!C:C,MATCH(($I139/12),Constants!$A:$A,0)))),0),"")</f>
        <v/>
      </c>
      <c r="AS139" s="146" t="str">
        <f>IFERROR(_xlfn.IFNA(IF($BA139="No",0,IF(INDEX(Constants!D:D,MATCH(($I139/12),Constants!$A:$A,0))=0,0,INDEX(Constants!D:D,MATCH(($I139/12),Constants!$A:$A,0)))),0),"")</f>
        <v/>
      </c>
      <c r="AT139" s="146" t="str">
        <f>IFERROR(_xlfn.IFNA(IF($BA139="No",0,IF(INDEX(Constants!E:E,MATCH(($I139/12),Constants!$A:$A,0))=0,0,INDEX(Constants!E:E,MATCH(($I139/12),Constants!$A:$A,0)))),0),"")</f>
        <v/>
      </c>
      <c r="AU139" s="146" t="str">
        <f>IFERROR(_xlfn.IFNA(IF($BA139="No",0,IF(INDEX(Constants!F:F,MATCH(($I139/12),Constants!$A:$A,0))=0,0,INDEX(Constants!F:F,MATCH(($I139/12),Constants!$A:$A,0)))),0),"")</f>
        <v/>
      </c>
      <c r="AV139" s="146" t="str">
        <f>IFERROR(_xlfn.IFNA(IF($BA139="No",0,IF(INDEX(Constants!G:G,MATCH(($I139/12),Constants!$A:$A,0))=0,0,INDEX(Constants!G:G,MATCH(($I139/12),Constants!$A:$A,0)))),0),"")</f>
        <v/>
      </c>
      <c r="AW139" s="146" t="str">
        <f>IFERROR(_xlfn.IFNA(IF($BA139="No",0,IF(INDEX(Constants!H:H,MATCH(($I139/12),Constants!$A:$A,0))=0,0,INDEX(Constants!H:H,MATCH(($I139/12),Constants!$A:$A,0)))),0),"")</f>
        <v/>
      </c>
      <c r="AX139" s="146" t="str">
        <f>IFERROR(_xlfn.IFNA(IF($BA139="No",0,IF(INDEX(Constants!I:I,MATCH(($I139/12),Constants!$A:$A,0))=0,0,INDEX(Constants!I:I,MATCH(($I139/12),Constants!$A:$A,0)))),0),"")</f>
        <v/>
      </c>
      <c r="AY139" s="146" t="str">
        <f>IFERROR(_xlfn.IFNA(IF($BA139="No",0,IF(INDEX(Constants!J:J,MATCH(($I139/12),Constants!$A:$A,0))=0,0,INDEX(Constants!J:J,MATCH(($I139/12),Constants!$A:$A,0)))),0),"")</f>
        <v/>
      </c>
      <c r="AZ139" s="146" t="str">
        <f>IFERROR(_xlfn.IFNA(IF($BA139="No",0,IF(INDEX(Constants!K:K,MATCH(($I139/12),Constants!$A:$A,0))=0,0,INDEX(Constants!K:K,MATCH(($I139/12),Constants!$A:$A,0)))),0),"")</f>
        <v/>
      </c>
      <c r="BA139" s="147" t="str">
        <f>_xlfn.IFNA(INDEX(Producer!$L:$L,MATCH($D139,Producer!$A:$A,0)),"")</f>
        <v/>
      </c>
      <c r="BB139" s="146" t="str">
        <f>IFERROR(IF(AQ139=0,"",IF(($I139/12)=15,_xlfn.CONCAT(Constants!$N$7,TEXT(DATE(YEAR(H139)-(($I139/12)-3),MONTH(H139),DAY(H139)),"dd/mm/yyyy"),", ",Constants!$P$7,TEXT(DATE(YEAR(H139)-(($I139/12)-8),MONTH(H139),DAY(H139)),"dd/mm/yyyy"),", ",Constants!$T$7,TEXT(DATE(YEAR(H139)-(($I139/12)-11),MONTH(H139),DAY(H139)),"dd/mm/yyyy"),", ",Constants!$V$7,TEXT(DATE(YEAR(H139)-(($I139/12)-13),MONTH(H139),DAY(H139)),"dd/mm/yyyy"),", ",Constants!$W$7,TEXT($H139,"dd/mm/yyyy")),IF(($I139/12)=10,_xlfn.CONCAT(Constants!$N$6,TEXT(DATE(YEAR(H139)-(($I139/12)-2),MONTH(H139),DAY(H139)),"dd/mm/yyyy"),", ",Constants!$P$6,TEXT(DATE(YEAR(H139)-(($I139/12)-6),MONTH(H139),DAY(H139)),"dd/mm/yyyy"),", ",Constants!$T$6,TEXT(DATE(YEAR(H139)-(($I139/12)-8),MONTH(H139),DAY(H139)),"dd/mm/yyyy"),", ",Constants!$V$6,TEXT(DATE(YEAR(H139)-(($I139/12)-9),MONTH(H139),DAY(H139)),"dd/mm/yyyy"),", ",Constants!$W$6,TEXT($H139,"dd/mm/yyyy")),IF(($I139/12)=5,_xlfn.CONCAT(Constants!$N$5,TEXT(DATE(YEAR(H139)-(($I139/12)-1),MONTH(H139),DAY(H139)),"dd/mm/yyyy"),", ",Constants!$O$5,TEXT(DATE(YEAR(H139)-(($I139/12)-2),MONTH(H139),DAY(H139)),"dd/mm/yyyy"),", ",Constants!$P$5,TEXT(DATE(YEAR(H139)-(($I139/12)-3),MONTH(H139),DAY(H139)),"dd/mm/yyyy"),", ",Constants!$Q$5,TEXT(DATE(YEAR(H139)-(($I139/12)-4),MONTH(H139),DAY(H139)),"dd/mm/yyyy"),", ",Constants!$R$5,TEXT($H139,"dd/mm/yyyy")),IF(($I139/12)=3,_xlfn.CONCAT(Constants!$N$4,TEXT(DATE(YEAR(H139)-(($I139/12)-1),MONTH(H139),DAY(H139)),"dd/mm/yyyy"),", ",Constants!$O$4,TEXT(DATE(YEAR(H139)-(($I139/12)-2),MONTH(H139),DAY(H139)),"dd/mm/yyyy"),", ",Constants!$P$4,TEXT($H139,"dd/mm/yyyy")),IF(($I139/12)=2,_xlfn.CONCAT(Constants!$N$3,TEXT(DATE(YEAR(H139)-(($I139/12)-1),MONTH(H139),DAY(H139)),"dd/mm/yyyy"),", ",Constants!$O$3,TEXT($H139,"dd/mm/yyyy")),IF(($I139/12)=1,_xlfn.CONCAT(Constants!$N$2,TEXT($H139,"dd/mm/yyyy")),"Update Constants"))))))),"")</f>
        <v/>
      </c>
      <c r="BC139" s="147" t="str">
        <f>_xlfn.IFNA(VALUE(INDEX(Producer!$K:$K,MATCH($D139,Producer!$A:$A,0))),"")</f>
        <v/>
      </c>
      <c r="BD139" s="147" t="str">
        <f>_xlfn.IFNA(INDEX(Producer!$I:$I,MATCH($D139,Producer!$A:$A,0)),"")</f>
        <v/>
      </c>
      <c r="BE139" s="147" t="str">
        <f t="shared" si="64"/>
        <v/>
      </c>
      <c r="BF139" s="147"/>
      <c r="BG139" s="147"/>
      <c r="BH139" s="151" t="str">
        <f>_xlfn.IFNA(INDEX(Constants!$B:$B,MATCH(BC139,Constants!A:A,0)),"")</f>
        <v/>
      </c>
      <c r="BI139" s="147" t="str">
        <f>IF(LEFT(B139,15)="Limited Company",Constants!$D$16,IFERROR(_xlfn.IFNA(IF(C139="Residential",IF(BK139&lt;75,INDEX(Constants!$B:$B,MATCH(VALUE(60)/100,Constants!$A:$A,0)),INDEX(Constants!$B:$B,MATCH(VALUE(BK139)/100,Constants!$A:$A,0))),IF(BK139&lt;60,INDEX(Constants!$C:$C,MATCH(VALUE(60)/100,Constants!$A:$A,0)),INDEX(Constants!$C:$C,MATCH(VALUE(BK139)/100,Constants!$A:$A,0)))),""),""))</f>
        <v/>
      </c>
      <c r="BJ139" s="147" t="str">
        <f t="shared" si="65"/>
        <v/>
      </c>
      <c r="BK139" s="147" t="str">
        <f>_xlfn.IFNA(VALUE(INDEX(Producer!$E:$E,MATCH($D139,Producer!$A:$A,0)))*100,"")</f>
        <v/>
      </c>
      <c r="BL139" s="146" t="str">
        <f>_xlfn.IFNA(IF(IFERROR(FIND("Part &amp; Part",B139),-10)&gt;0,"PP",IF(OR(LEFT(B139,25)="Residential Interest Only",INDEX(Producer!$P:$P,MATCH($D139,Producer!$A:$A,0))="IO",INDEX(Producer!$P:$P,MATCH($D139,Producer!$A:$A,0))="Retirement Interest Only"),"IO",IF($C139="BuyToLet","CI, IO","CI"))),"")</f>
        <v/>
      </c>
      <c r="BM139" s="152" t="str">
        <f>_xlfn.IFNA(IF(BL139="IO",100%,IF(AND(INDEX(Producer!$P:$P,MATCH($D139,Producer!$A:$A,0))="Residential Interest Only Part &amp; Part",BK139=75),80%,IF(C139="BuyToLet",100%,IF(BL139="Interest Only",100%,IF(AND(INDEX(Producer!$P:$P,MATCH($D139,Producer!$A:$A,0))="Residential Interest Only Part &amp; Part",BK139=60),100%,""))))),"")</f>
        <v/>
      </c>
      <c r="BN139" s="218" t="str">
        <f>_xlfn.IFNA(IF(VALUE(INDEX(Producer!$H:$H,MATCH($D139,Producer!$A:$A,0)))=0,"",VALUE(INDEX(Producer!$H:$H,MATCH($D139,Producer!$A:$A,0)))),"")</f>
        <v/>
      </c>
      <c r="BO139" s="153"/>
      <c r="BP139" s="153"/>
      <c r="BQ139" s="219" t="str">
        <f t="shared" si="66"/>
        <v/>
      </c>
      <c r="BR139" s="146"/>
      <c r="BS139" s="146"/>
      <c r="BT139" s="146"/>
      <c r="BU139" s="146"/>
      <c r="BV139" s="219" t="str">
        <f t="shared" si="67"/>
        <v/>
      </c>
      <c r="BW139" s="146"/>
      <c r="BX139" s="146"/>
      <c r="BY139" s="146" t="str">
        <f t="shared" si="68"/>
        <v/>
      </c>
      <c r="BZ139" s="146" t="str">
        <f t="shared" si="69"/>
        <v/>
      </c>
      <c r="CA139" s="146" t="str">
        <f t="shared" si="70"/>
        <v/>
      </c>
      <c r="CB139" s="146" t="str">
        <f t="shared" si="71"/>
        <v/>
      </c>
      <c r="CC139" s="146" t="str">
        <f>_xlfn.IFNA(IF(INDEX(Producer!$P:$P,MATCH($D139,Producer!$A:$A,0))="Help to Buy","Only available","No"),"")</f>
        <v/>
      </c>
      <c r="CD139" s="146" t="str">
        <f>_xlfn.IFNA(IF(INDEX(Producer!$P:$P,MATCH($D139,Producer!$A:$A,0))="Shared Ownership","Only available","No"),"")</f>
        <v/>
      </c>
      <c r="CE139" s="146" t="str">
        <f>_xlfn.IFNA(IF(INDEX(Producer!$P:$P,MATCH($D139,Producer!$A:$A,0))="Right to Buy","Only available","No"),"")</f>
        <v/>
      </c>
      <c r="CF139" s="146" t="str">
        <f t="shared" si="72"/>
        <v/>
      </c>
      <c r="CG139" s="146" t="str">
        <f>_xlfn.IFNA(IF(INDEX(Producer!$P:$P,MATCH($D139,Producer!$A:$A,0))="Retirement Interest Only","Only available","No"),"")</f>
        <v/>
      </c>
      <c r="CH139" s="146" t="str">
        <f t="shared" si="73"/>
        <v/>
      </c>
      <c r="CI139" s="146" t="str">
        <f>_xlfn.IFNA(IF(INDEX(Producer!$P:$P,MATCH($D139,Producer!$A:$A,0))="Intermediary Holiday Let","Only available","No"),"")</f>
        <v/>
      </c>
      <c r="CJ139" s="146" t="str">
        <f t="shared" si="74"/>
        <v/>
      </c>
      <c r="CK139" s="146" t="str">
        <f>_xlfn.IFNA(IF(OR(INDEX(Producer!$P:$P,MATCH($D139,Producer!$A:$A,0))="Intermediary Small HMO",INDEX(Producer!$P:$P,MATCH($D139,Producer!$A:$A,0))="Intermediary Large HMO"),"Only available","No"),"")</f>
        <v/>
      </c>
      <c r="CL139" s="146" t="str">
        <f t="shared" si="75"/>
        <v/>
      </c>
      <c r="CM139" s="146" t="str">
        <f t="shared" si="76"/>
        <v/>
      </c>
      <c r="CN139" s="146" t="str">
        <f t="shared" si="77"/>
        <v/>
      </c>
      <c r="CO139" s="146" t="str">
        <f t="shared" si="78"/>
        <v/>
      </c>
      <c r="CP139" s="146" t="str">
        <f t="shared" si="79"/>
        <v/>
      </c>
      <c r="CQ139" s="146" t="str">
        <f t="shared" si="80"/>
        <v/>
      </c>
      <c r="CR139" s="146" t="str">
        <f t="shared" si="81"/>
        <v/>
      </c>
      <c r="CS139" s="146" t="str">
        <f t="shared" si="82"/>
        <v/>
      </c>
      <c r="CT139" s="146" t="str">
        <f t="shared" si="83"/>
        <v/>
      </c>
      <c r="CU139" s="146"/>
    </row>
    <row r="140" spans="1:99" ht="16.399999999999999" customHeight="1" x14ac:dyDescent="0.35">
      <c r="A140" s="145" t="str">
        <f t="shared" si="56"/>
        <v/>
      </c>
      <c r="B140" s="145" t="str">
        <f>_xlfn.IFNA(_xlfn.CONCAT(INDEX(Producer!$P:$P,MATCH($D140,Producer!$A:$A,0))," ",IF(INDEX(Producer!$N:$N,MATCH($D140,Producer!$A:$A,0))="Yes","Green ",""),IF(AND(INDEX(Producer!$L:$L,MATCH($D140,Producer!$A:$A,0))="No",INDEX(Producer!$C:$C,MATCH($D140,Producer!$A:$A,0))="Fixed"),"Flexit ",""),INDEX(Producer!$B:$B,MATCH($D140,Producer!$A:$A,0))," Year ",INDEX(Producer!$C:$C,MATCH($D140,Producer!$A:$A,0))," ",VALUE(INDEX(Producer!$E:$E,MATCH($D140,Producer!$A:$A,0)))*100,"% LTV",IF(INDEX(Producer!$N:$N,MATCH($D140,Producer!$A:$A,0))="Yes"," (EPC A-C)","")," - ",IF(INDEX(Producer!$D:$D,MATCH($D140,Producer!$A:$A,0))="DLY","Daily","Annual")),"")</f>
        <v/>
      </c>
      <c r="C140" s="146" t="str">
        <f>_xlfn.IFNA(INDEX(Producer!$Q:$Q,MATCH($D140,Producer!$A:$A,0)),"")</f>
        <v/>
      </c>
      <c r="D140" s="146" t="str">
        <f>IFERROR(VALUE(MID(Producer!$R$2,IF($D139="",1/0,FIND(_xlfn.CONCAT($D138,$D139),Producer!$R$2)+10),5)),"")</f>
        <v/>
      </c>
      <c r="E140" s="146" t="str">
        <f t="shared" si="57"/>
        <v/>
      </c>
      <c r="F140" s="146"/>
      <c r="G140" s="147" t="str">
        <f>_xlfn.IFNA(VALUE(INDEX(Producer!$F:$F,MATCH($D140,Producer!$A:$A,0)))*100,"")</f>
        <v/>
      </c>
      <c r="H140" s="216" t="str">
        <f>_xlfn.IFNA(IFERROR(DATEVALUE(INDEX(Producer!$M:$M,MATCH($D140,Producer!$A:$A,0))),(INDEX(Producer!$M:$M,MATCH($D140,Producer!$A:$A,0)))),"")</f>
        <v/>
      </c>
      <c r="I140" s="217" t="str">
        <f>_xlfn.IFNA(VALUE(INDEX(Producer!$B:$B,MATCH($D140,Producer!$A:$A,0)))*12,"")</f>
        <v/>
      </c>
      <c r="J140" s="146" t="str">
        <f>_xlfn.IFNA(IF(C140="Residential",IF(VALUE(INDEX(Producer!$B:$B,MATCH($D140,Producer!$A:$A,0)))&lt;5,Constants!$C$10,""),IF(VALUE(INDEX(Producer!$B:$B,MATCH($D140,Producer!$A:$A,0)))&lt;5,Constants!$C$11,"")),"")</f>
        <v/>
      </c>
      <c r="K140" s="216" t="str">
        <f>_xlfn.IFNA(IF(($I140)&lt;60,DATE(YEAR(H140)+(5-VALUE(INDEX(Producer!$B:$B,MATCH($D140,Producer!$A:$A,0)))),MONTH(H140),DAY(H140)),""),"")</f>
        <v/>
      </c>
      <c r="L140" s="153" t="str">
        <f t="shared" si="58"/>
        <v/>
      </c>
      <c r="M140" s="146"/>
      <c r="N140" s="148"/>
      <c r="O140" s="148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 t="str">
        <f>IF(D140="","",IF(C140="Residential",Constants!$B$10,Constants!$B$11))</f>
        <v/>
      </c>
      <c r="AL140" s="146" t="str">
        <f t="shared" si="59"/>
        <v/>
      </c>
      <c r="AM140" s="206" t="str">
        <f t="shared" si="60"/>
        <v/>
      </c>
      <c r="AN140" s="146" t="str">
        <f t="shared" si="61"/>
        <v/>
      </c>
      <c r="AO140" s="149" t="str">
        <f t="shared" si="62"/>
        <v/>
      </c>
      <c r="AP140" s="150" t="str">
        <f t="shared" si="63"/>
        <v/>
      </c>
      <c r="AQ140" s="146" t="str">
        <f>IFERROR(_xlfn.IFNA(IF($BA140="No",0,IF(INDEX(Constants!B:B,MATCH(($I140/12),Constants!$A:$A,0))=0,0,INDEX(Constants!B:B,MATCH(($I140/12),Constants!$A:$A,0)))),0),"")</f>
        <v/>
      </c>
      <c r="AR140" s="146" t="str">
        <f>IFERROR(_xlfn.IFNA(IF($BA140="No",0,IF(INDEX(Constants!C:C,MATCH(($I140/12),Constants!$A:$A,0))=0,0,INDEX(Constants!C:C,MATCH(($I140/12),Constants!$A:$A,0)))),0),"")</f>
        <v/>
      </c>
      <c r="AS140" s="146" t="str">
        <f>IFERROR(_xlfn.IFNA(IF($BA140="No",0,IF(INDEX(Constants!D:D,MATCH(($I140/12),Constants!$A:$A,0))=0,0,INDEX(Constants!D:D,MATCH(($I140/12),Constants!$A:$A,0)))),0),"")</f>
        <v/>
      </c>
      <c r="AT140" s="146" t="str">
        <f>IFERROR(_xlfn.IFNA(IF($BA140="No",0,IF(INDEX(Constants!E:E,MATCH(($I140/12),Constants!$A:$A,0))=0,0,INDEX(Constants!E:E,MATCH(($I140/12),Constants!$A:$A,0)))),0),"")</f>
        <v/>
      </c>
      <c r="AU140" s="146" t="str">
        <f>IFERROR(_xlfn.IFNA(IF($BA140="No",0,IF(INDEX(Constants!F:F,MATCH(($I140/12),Constants!$A:$A,0))=0,0,INDEX(Constants!F:F,MATCH(($I140/12),Constants!$A:$A,0)))),0),"")</f>
        <v/>
      </c>
      <c r="AV140" s="146" t="str">
        <f>IFERROR(_xlfn.IFNA(IF($BA140="No",0,IF(INDEX(Constants!G:G,MATCH(($I140/12),Constants!$A:$A,0))=0,0,INDEX(Constants!G:G,MATCH(($I140/12),Constants!$A:$A,0)))),0),"")</f>
        <v/>
      </c>
      <c r="AW140" s="146" t="str">
        <f>IFERROR(_xlfn.IFNA(IF($BA140="No",0,IF(INDEX(Constants!H:H,MATCH(($I140/12),Constants!$A:$A,0))=0,0,INDEX(Constants!H:H,MATCH(($I140/12),Constants!$A:$A,0)))),0),"")</f>
        <v/>
      </c>
      <c r="AX140" s="146" t="str">
        <f>IFERROR(_xlfn.IFNA(IF($BA140="No",0,IF(INDEX(Constants!I:I,MATCH(($I140/12),Constants!$A:$A,0))=0,0,INDEX(Constants!I:I,MATCH(($I140/12),Constants!$A:$A,0)))),0),"")</f>
        <v/>
      </c>
      <c r="AY140" s="146" t="str">
        <f>IFERROR(_xlfn.IFNA(IF($BA140="No",0,IF(INDEX(Constants!J:J,MATCH(($I140/12),Constants!$A:$A,0))=0,0,INDEX(Constants!J:J,MATCH(($I140/12),Constants!$A:$A,0)))),0),"")</f>
        <v/>
      </c>
      <c r="AZ140" s="146" t="str">
        <f>IFERROR(_xlfn.IFNA(IF($BA140="No",0,IF(INDEX(Constants!K:K,MATCH(($I140/12),Constants!$A:$A,0))=0,0,INDEX(Constants!K:K,MATCH(($I140/12),Constants!$A:$A,0)))),0),"")</f>
        <v/>
      </c>
      <c r="BA140" s="147" t="str">
        <f>_xlfn.IFNA(INDEX(Producer!$L:$L,MATCH($D140,Producer!$A:$A,0)),"")</f>
        <v/>
      </c>
      <c r="BB140" s="146" t="str">
        <f>IFERROR(IF(AQ140=0,"",IF(($I140/12)=15,_xlfn.CONCAT(Constants!$N$7,TEXT(DATE(YEAR(H140)-(($I140/12)-3),MONTH(H140),DAY(H140)),"dd/mm/yyyy"),", ",Constants!$P$7,TEXT(DATE(YEAR(H140)-(($I140/12)-8),MONTH(H140),DAY(H140)),"dd/mm/yyyy"),", ",Constants!$T$7,TEXT(DATE(YEAR(H140)-(($I140/12)-11),MONTH(H140),DAY(H140)),"dd/mm/yyyy"),", ",Constants!$V$7,TEXT(DATE(YEAR(H140)-(($I140/12)-13),MONTH(H140),DAY(H140)),"dd/mm/yyyy"),", ",Constants!$W$7,TEXT($H140,"dd/mm/yyyy")),IF(($I140/12)=10,_xlfn.CONCAT(Constants!$N$6,TEXT(DATE(YEAR(H140)-(($I140/12)-2),MONTH(H140),DAY(H140)),"dd/mm/yyyy"),", ",Constants!$P$6,TEXT(DATE(YEAR(H140)-(($I140/12)-6),MONTH(H140),DAY(H140)),"dd/mm/yyyy"),", ",Constants!$T$6,TEXT(DATE(YEAR(H140)-(($I140/12)-8),MONTH(H140),DAY(H140)),"dd/mm/yyyy"),", ",Constants!$V$6,TEXT(DATE(YEAR(H140)-(($I140/12)-9),MONTH(H140),DAY(H140)),"dd/mm/yyyy"),", ",Constants!$W$6,TEXT($H140,"dd/mm/yyyy")),IF(($I140/12)=5,_xlfn.CONCAT(Constants!$N$5,TEXT(DATE(YEAR(H140)-(($I140/12)-1),MONTH(H140),DAY(H140)),"dd/mm/yyyy"),", ",Constants!$O$5,TEXT(DATE(YEAR(H140)-(($I140/12)-2),MONTH(H140),DAY(H140)),"dd/mm/yyyy"),", ",Constants!$P$5,TEXT(DATE(YEAR(H140)-(($I140/12)-3),MONTH(H140),DAY(H140)),"dd/mm/yyyy"),", ",Constants!$Q$5,TEXT(DATE(YEAR(H140)-(($I140/12)-4),MONTH(H140),DAY(H140)),"dd/mm/yyyy"),", ",Constants!$R$5,TEXT($H140,"dd/mm/yyyy")),IF(($I140/12)=3,_xlfn.CONCAT(Constants!$N$4,TEXT(DATE(YEAR(H140)-(($I140/12)-1),MONTH(H140),DAY(H140)),"dd/mm/yyyy"),", ",Constants!$O$4,TEXT(DATE(YEAR(H140)-(($I140/12)-2),MONTH(H140),DAY(H140)),"dd/mm/yyyy"),", ",Constants!$P$4,TEXT($H140,"dd/mm/yyyy")),IF(($I140/12)=2,_xlfn.CONCAT(Constants!$N$3,TEXT(DATE(YEAR(H140)-(($I140/12)-1),MONTH(H140),DAY(H140)),"dd/mm/yyyy"),", ",Constants!$O$3,TEXT($H140,"dd/mm/yyyy")),IF(($I140/12)=1,_xlfn.CONCAT(Constants!$N$2,TEXT($H140,"dd/mm/yyyy")),"Update Constants"))))))),"")</f>
        <v/>
      </c>
      <c r="BC140" s="147" t="str">
        <f>_xlfn.IFNA(VALUE(INDEX(Producer!$K:$K,MATCH($D140,Producer!$A:$A,0))),"")</f>
        <v/>
      </c>
      <c r="BD140" s="147" t="str">
        <f>_xlfn.IFNA(INDEX(Producer!$I:$I,MATCH($D140,Producer!$A:$A,0)),"")</f>
        <v/>
      </c>
      <c r="BE140" s="147" t="str">
        <f t="shared" si="64"/>
        <v/>
      </c>
      <c r="BF140" s="147"/>
      <c r="BG140" s="147"/>
      <c r="BH140" s="151" t="str">
        <f>_xlfn.IFNA(INDEX(Constants!$B:$B,MATCH(BC140,Constants!A:A,0)),"")</f>
        <v/>
      </c>
      <c r="BI140" s="147" t="str">
        <f>IF(LEFT(B140,15)="Limited Company",Constants!$D$16,IFERROR(_xlfn.IFNA(IF(C140="Residential",IF(BK140&lt;75,INDEX(Constants!$B:$B,MATCH(VALUE(60)/100,Constants!$A:$A,0)),INDEX(Constants!$B:$B,MATCH(VALUE(BK140)/100,Constants!$A:$A,0))),IF(BK140&lt;60,INDEX(Constants!$C:$C,MATCH(VALUE(60)/100,Constants!$A:$A,0)),INDEX(Constants!$C:$C,MATCH(VALUE(BK140)/100,Constants!$A:$A,0)))),""),""))</f>
        <v/>
      </c>
      <c r="BJ140" s="147" t="str">
        <f t="shared" si="65"/>
        <v/>
      </c>
      <c r="BK140" s="147" t="str">
        <f>_xlfn.IFNA(VALUE(INDEX(Producer!$E:$E,MATCH($D140,Producer!$A:$A,0)))*100,"")</f>
        <v/>
      </c>
      <c r="BL140" s="146" t="str">
        <f>_xlfn.IFNA(IF(IFERROR(FIND("Part &amp; Part",B140),-10)&gt;0,"PP",IF(OR(LEFT(B140,25)="Residential Interest Only",INDEX(Producer!$P:$P,MATCH($D140,Producer!$A:$A,0))="IO",INDEX(Producer!$P:$P,MATCH($D140,Producer!$A:$A,0))="Retirement Interest Only"),"IO",IF($C140="BuyToLet","CI, IO","CI"))),"")</f>
        <v/>
      </c>
      <c r="BM140" s="152" t="str">
        <f>_xlfn.IFNA(IF(BL140="IO",100%,IF(AND(INDEX(Producer!$P:$P,MATCH($D140,Producer!$A:$A,0))="Residential Interest Only Part &amp; Part",BK140=75),80%,IF(C140="BuyToLet",100%,IF(BL140="Interest Only",100%,IF(AND(INDEX(Producer!$P:$P,MATCH($D140,Producer!$A:$A,0))="Residential Interest Only Part &amp; Part",BK140=60),100%,""))))),"")</f>
        <v/>
      </c>
      <c r="BN140" s="218" t="str">
        <f>_xlfn.IFNA(IF(VALUE(INDEX(Producer!$H:$H,MATCH($D140,Producer!$A:$A,0)))=0,"",VALUE(INDEX(Producer!$H:$H,MATCH($D140,Producer!$A:$A,0)))),"")</f>
        <v/>
      </c>
      <c r="BO140" s="153"/>
      <c r="BP140" s="153"/>
      <c r="BQ140" s="219" t="str">
        <f t="shared" si="66"/>
        <v/>
      </c>
      <c r="BR140" s="146"/>
      <c r="BS140" s="146"/>
      <c r="BT140" s="146"/>
      <c r="BU140" s="146"/>
      <c r="BV140" s="219" t="str">
        <f t="shared" si="67"/>
        <v/>
      </c>
      <c r="BW140" s="146"/>
      <c r="BX140" s="146"/>
      <c r="BY140" s="146" t="str">
        <f t="shared" si="68"/>
        <v/>
      </c>
      <c r="BZ140" s="146" t="str">
        <f t="shared" si="69"/>
        <v/>
      </c>
      <c r="CA140" s="146" t="str">
        <f t="shared" si="70"/>
        <v/>
      </c>
      <c r="CB140" s="146" t="str">
        <f t="shared" si="71"/>
        <v/>
      </c>
      <c r="CC140" s="146" t="str">
        <f>_xlfn.IFNA(IF(INDEX(Producer!$P:$P,MATCH($D140,Producer!$A:$A,0))="Help to Buy","Only available","No"),"")</f>
        <v/>
      </c>
      <c r="CD140" s="146" t="str">
        <f>_xlfn.IFNA(IF(INDEX(Producer!$P:$P,MATCH($D140,Producer!$A:$A,0))="Shared Ownership","Only available","No"),"")</f>
        <v/>
      </c>
      <c r="CE140" s="146" t="str">
        <f>_xlfn.IFNA(IF(INDEX(Producer!$P:$P,MATCH($D140,Producer!$A:$A,0))="Right to Buy","Only available","No"),"")</f>
        <v/>
      </c>
      <c r="CF140" s="146" t="str">
        <f t="shared" si="72"/>
        <v/>
      </c>
      <c r="CG140" s="146" t="str">
        <f>_xlfn.IFNA(IF(INDEX(Producer!$P:$P,MATCH($D140,Producer!$A:$A,0))="Retirement Interest Only","Only available","No"),"")</f>
        <v/>
      </c>
      <c r="CH140" s="146" t="str">
        <f t="shared" si="73"/>
        <v/>
      </c>
      <c r="CI140" s="146" t="str">
        <f>_xlfn.IFNA(IF(INDEX(Producer!$P:$P,MATCH($D140,Producer!$A:$A,0))="Intermediary Holiday Let","Only available","No"),"")</f>
        <v/>
      </c>
      <c r="CJ140" s="146" t="str">
        <f t="shared" si="74"/>
        <v/>
      </c>
      <c r="CK140" s="146" t="str">
        <f>_xlfn.IFNA(IF(OR(INDEX(Producer!$P:$P,MATCH($D140,Producer!$A:$A,0))="Intermediary Small HMO",INDEX(Producer!$P:$P,MATCH($D140,Producer!$A:$A,0))="Intermediary Large HMO"),"Only available","No"),"")</f>
        <v/>
      </c>
      <c r="CL140" s="146" t="str">
        <f t="shared" si="75"/>
        <v/>
      </c>
      <c r="CM140" s="146" t="str">
        <f t="shared" si="76"/>
        <v/>
      </c>
      <c r="CN140" s="146" t="str">
        <f t="shared" si="77"/>
        <v/>
      </c>
      <c r="CO140" s="146" t="str">
        <f t="shared" si="78"/>
        <v/>
      </c>
      <c r="CP140" s="146" t="str">
        <f t="shared" si="79"/>
        <v/>
      </c>
      <c r="CQ140" s="146" t="str">
        <f t="shared" si="80"/>
        <v/>
      </c>
      <c r="CR140" s="146" t="str">
        <f t="shared" si="81"/>
        <v/>
      </c>
      <c r="CS140" s="146" t="str">
        <f t="shared" si="82"/>
        <v/>
      </c>
      <c r="CT140" s="146" t="str">
        <f t="shared" si="83"/>
        <v/>
      </c>
      <c r="CU140" s="146"/>
    </row>
    <row r="141" spans="1:99" ht="16.399999999999999" customHeight="1" x14ac:dyDescent="0.35">
      <c r="A141" s="145" t="str">
        <f t="shared" si="56"/>
        <v/>
      </c>
      <c r="B141" s="145" t="str">
        <f>_xlfn.IFNA(_xlfn.CONCAT(INDEX(Producer!$P:$P,MATCH($D141,Producer!$A:$A,0))," ",IF(INDEX(Producer!$N:$N,MATCH($D141,Producer!$A:$A,0))="Yes","Green ",""),IF(AND(INDEX(Producer!$L:$L,MATCH($D141,Producer!$A:$A,0))="No",INDEX(Producer!$C:$C,MATCH($D141,Producer!$A:$A,0))="Fixed"),"Flexit ",""),INDEX(Producer!$B:$B,MATCH($D141,Producer!$A:$A,0))," Year ",INDEX(Producer!$C:$C,MATCH($D141,Producer!$A:$A,0))," ",VALUE(INDEX(Producer!$E:$E,MATCH($D141,Producer!$A:$A,0)))*100,"% LTV",IF(INDEX(Producer!$N:$N,MATCH($D141,Producer!$A:$A,0))="Yes"," (EPC A-C)","")," - ",IF(INDEX(Producer!$D:$D,MATCH($D141,Producer!$A:$A,0))="DLY","Daily","Annual")),"")</f>
        <v/>
      </c>
      <c r="C141" s="146" t="str">
        <f>_xlfn.IFNA(INDEX(Producer!$Q:$Q,MATCH($D141,Producer!$A:$A,0)),"")</f>
        <v/>
      </c>
      <c r="D141" s="146" t="str">
        <f>IFERROR(VALUE(MID(Producer!$R$2,IF($D140="",1/0,FIND(_xlfn.CONCAT($D139,$D140),Producer!$R$2)+10),5)),"")</f>
        <v/>
      </c>
      <c r="E141" s="146" t="str">
        <f t="shared" si="57"/>
        <v/>
      </c>
      <c r="F141" s="146"/>
      <c r="G141" s="147" t="str">
        <f>_xlfn.IFNA(VALUE(INDEX(Producer!$F:$F,MATCH($D141,Producer!$A:$A,0)))*100,"")</f>
        <v/>
      </c>
      <c r="H141" s="216" t="str">
        <f>_xlfn.IFNA(IFERROR(DATEVALUE(INDEX(Producer!$M:$M,MATCH($D141,Producer!$A:$A,0))),(INDEX(Producer!$M:$M,MATCH($D141,Producer!$A:$A,0)))),"")</f>
        <v/>
      </c>
      <c r="I141" s="217" t="str">
        <f>_xlfn.IFNA(VALUE(INDEX(Producer!$B:$B,MATCH($D141,Producer!$A:$A,0)))*12,"")</f>
        <v/>
      </c>
      <c r="J141" s="146" t="str">
        <f>_xlfn.IFNA(IF(C141="Residential",IF(VALUE(INDEX(Producer!$B:$B,MATCH($D141,Producer!$A:$A,0)))&lt;5,Constants!$C$10,""),IF(VALUE(INDEX(Producer!$B:$B,MATCH($D141,Producer!$A:$A,0)))&lt;5,Constants!$C$11,"")),"")</f>
        <v/>
      </c>
      <c r="K141" s="216" t="str">
        <f>_xlfn.IFNA(IF(($I141)&lt;60,DATE(YEAR(H141)+(5-VALUE(INDEX(Producer!$B:$B,MATCH($D141,Producer!$A:$A,0)))),MONTH(H141),DAY(H141)),""),"")</f>
        <v/>
      </c>
      <c r="L141" s="153" t="str">
        <f t="shared" si="58"/>
        <v/>
      </c>
      <c r="M141" s="146"/>
      <c r="N141" s="148"/>
      <c r="O141" s="148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 t="str">
        <f>IF(D141="","",IF(C141="Residential",Constants!$B$10,Constants!$B$11))</f>
        <v/>
      </c>
      <c r="AL141" s="146" t="str">
        <f t="shared" si="59"/>
        <v/>
      </c>
      <c r="AM141" s="206" t="str">
        <f t="shared" si="60"/>
        <v/>
      </c>
      <c r="AN141" s="146" t="str">
        <f t="shared" si="61"/>
        <v/>
      </c>
      <c r="AO141" s="149" t="str">
        <f t="shared" si="62"/>
        <v/>
      </c>
      <c r="AP141" s="150" t="str">
        <f t="shared" si="63"/>
        <v/>
      </c>
      <c r="AQ141" s="146" t="str">
        <f>IFERROR(_xlfn.IFNA(IF($BA141="No",0,IF(INDEX(Constants!B:B,MATCH(($I141/12),Constants!$A:$A,0))=0,0,INDEX(Constants!B:B,MATCH(($I141/12),Constants!$A:$A,0)))),0),"")</f>
        <v/>
      </c>
      <c r="AR141" s="146" t="str">
        <f>IFERROR(_xlfn.IFNA(IF($BA141="No",0,IF(INDEX(Constants!C:C,MATCH(($I141/12),Constants!$A:$A,0))=0,0,INDEX(Constants!C:C,MATCH(($I141/12),Constants!$A:$A,0)))),0),"")</f>
        <v/>
      </c>
      <c r="AS141" s="146" t="str">
        <f>IFERROR(_xlfn.IFNA(IF($BA141="No",0,IF(INDEX(Constants!D:D,MATCH(($I141/12),Constants!$A:$A,0))=0,0,INDEX(Constants!D:D,MATCH(($I141/12),Constants!$A:$A,0)))),0),"")</f>
        <v/>
      </c>
      <c r="AT141" s="146" t="str">
        <f>IFERROR(_xlfn.IFNA(IF($BA141="No",0,IF(INDEX(Constants!E:E,MATCH(($I141/12),Constants!$A:$A,0))=0,0,INDEX(Constants!E:E,MATCH(($I141/12),Constants!$A:$A,0)))),0),"")</f>
        <v/>
      </c>
      <c r="AU141" s="146" t="str">
        <f>IFERROR(_xlfn.IFNA(IF($BA141="No",0,IF(INDEX(Constants!F:F,MATCH(($I141/12),Constants!$A:$A,0))=0,0,INDEX(Constants!F:F,MATCH(($I141/12),Constants!$A:$A,0)))),0),"")</f>
        <v/>
      </c>
      <c r="AV141" s="146" t="str">
        <f>IFERROR(_xlfn.IFNA(IF($BA141="No",0,IF(INDEX(Constants!G:G,MATCH(($I141/12),Constants!$A:$A,0))=0,0,INDEX(Constants!G:G,MATCH(($I141/12),Constants!$A:$A,0)))),0),"")</f>
        <v/>
      </c>
      <c r="AW141" s="146" t="str">
        <f>IFERROR(_xlfn.IFNA(IF($BA141="No",0,IF(INDEX(Constants!H:H,MATCH(($I141/12),Constants!$A:$A,0))=0,0,INDEX(Constants!H:H,MATCH(($I141/12),Constants!$A:$A,0)))),0),"")</f>
        <v/>
      </c>
      <c r="AX141" s="146" t="str">
        <f>IFERROR(_xlfn.IFNA(IF($BA141="No",0,IF(INDEX(Constants!I:I,MATCH(($I141/12),Constants!$A:$A,0))=0,0,INDEX(Constants!I:I,MATCH(($I141/12),Constants!$A:$A,0)))),0),"")</f>
        <v/>
      </c>
      <c r="AY141" s="146" t="str">
        <f>IFERROR(_xlfn.IFNA(IF($BA141="No",0,IF(INDEX(Constants!J:J,MATCH(($I141/12),Constants!$A:$A,0))=0,0,INDEX(Constants!J:J,MATCH(($I141/12),Constants!$A:$A,0)))),0),"")</f>
        <v/>
      </c>
      <c r="AZ141" s="146" t="str">
        <f>IFERROR(_xlfn.IFNA(IF($BA141="No",0,IF(INDEX(Constants!K:K,MATCH(($I141/12),Constants!$A:$A,0))=0,0,INDEX(Constants!K:K,MATCH(($I141/12),Constants!$A:$A,0)))),0),"")</f>
        <v/>
      </c>
      <c r="BA141" s="147" t="str">
        <f>_xlfn.IFNA(INDEX(Producer!$L:$L,MATCH($D141,Producer!$A:$A,0)),"")</f>
        <v/>
      </c>
      <c r="BB141" s="146" t="str">
        <f>IFERROR(IF(AQ141=0,"",IF(($I141/12)=15,_xlfn.CONCAT(Constants!$N$7,TEXT(DATE(YEAR(H141)-(($I141/12)-3),MONTH(H141),DAY(H141)),"dd/mm/yyyy"),", ",Constants!$P$7,TEXT(DATE(YEAR(H141)-(($I141/12)-8),MONTH(H141),DAY(H141)),"dd/mm/yyyy"),", ",Constants!$T$7,TEXT(DATE(YEAR(H141)-(($I141/12)-11),MONTH(H141),DAY(H141)),"dd/mm/yyyy"),", ",Constants!$V$7,TEXT(DATE(YEAR(H141)-(($I141/12)-13),MONTH(H141),DAY(H141)),"dd/mm/yyyy"),", ",Constants!$W$7,TEXT($H141,"dd/mm/yyyy")),IF(($I141/12)=10,_xlfn.CONCAT(Constants!$N$6,TEXT(DATE(YEAR(H141)-(($I141/12)-2),MONTH(H141),DAY(H141)),"dd/mm/yyyy"),", ",Constants!$P$6,TEXT(DATE(YEAR(H141)-(($I141/12)-6),MONTH(H141),DAY(H141)),"dd/mm/yyyy"),", ",Constants!$T$6,TEXT(DATE(YEAR(H141)-(($I141/12)-8),MONTH(H141),DAY(H141)),"dd/mm/yyyy"),", ",Constants!$V$6,TEXT(DATE(YEAR(H141)-(($I141/12)-9),MONTH(H141),DAY(H141)),"dd/mm/yyyy"),", ",Constants!$W$6,TEXT($H141,"dd/mm/yyyy")),IF(($I141/12)=5,_xlfn.CONCAT(Constants!$N$5,TEXT(DATE(YEAR(H141)-(($I141/12)-1),MONTH(H141),DAY(H141)),"dd/mm/yyyy"),", ",Constants!$O$5,TEXT(DATE(YEAR(H141)-(($I141/12)-2),MONTH(H141),DAY(H141)),"dd/mm/yyyy"),", ",Constants!$P$5,TEXT(DATE(YEAR(H141)-(($I141/12)-3),MONTH(H141),DAY(H141)),"dd/mm/yyyy"),", ",Constants!$Q$5,TEXT(DATE(YEAR(H141)-(($I141/12)-4),MONTH(H141),DAY(H141)),"dd/mm/yyyy"),", ",Constants!$R$5,TEXT($H141,"dd/mm/yyyy")),IF(($I141/12)=3,_xlfn.CONCAT(Constants!$N$4,TEXT(DATE(YEAR(H141)-(($I141/12)-1),MONTH(H141),DAY(H141)),"dd/mm/yyyy"),", ",Constants!$O$4,TEXT(DATE(YEAR(H141)-(($I141/12)-2),MONTH(H141),DAY(H141)),"dd/mm/yyyy"),", ",Constants!$P$4,TEXT($H141,"dd/mm/yyyy")),IF(($I141/12)=2,_xlfn.CONCAT(Constants!$N$3,TEXT(DATE(YEAR(H141)-(($I141/12)-1),MONTH(H141),DAY(H141)),"dd/mm/yyyy"),", ",Constants!$O$3,TEXT($H141,"dd/mm/yyyy")),IF(($I141/12)=1,_xlfn.CONCAT(Constants!$N$2,TEXT($H141,"dd/mm/yyyy")),"Update Constants"))))))),"")</f>
        <v/>
      </c>
      <c r="BC141" s="147" t="str">
        <f>_xlfn.IFNA(VALUE(INDEX(Producer!$K:$K,MATCH($D141,Producer!$A:$A,0))),"")</f>
        <v/>
      </c>
      <c r="BD141" s="147" t="str">
        <f>_xlfn.IFNA(INDEX(Producer!$I:$I,MATCH($D141,Producer!$A:$A,0)),"")</f>
        <v/>
      </c>
      <c r="BE141" s="147" t="str">
        <f t="shared" si="64"/>
        <v/>
      </c>
      <c r="BF141" s="147"/>
      <c r="BG141" s="147"/>
      <c r="BH141" s="151" t="str">
        <f>_xlfn.IFNA(INDEX(Constants!$B:$B,MATCH(BC141,Constants!A:A,0)),"")</f>
        <v/>
      </c>
      <c r="BI141" s="147" t="str">
        <f>IF(LEFT(B141,15)="Limited Company",Constants!$D$16,IFERROR(_xlfn.IFNA(IF(C141="Residential",IF(BK141&lt;75,INDEX(Constants!$B:$B,MATCH(VALUE(60)/100,Constants!$A:$A,0)),INDEX(Constants!$B:$B,MATCH(VALUE(BK141)/100,Constants!$A:$A,0))),IF(BK141&lt;60,INDEX(Constants!$C:$C,MATCH(VALUE(60)/100,Constants!$A:$A,0)),INDEX(Constants!$C:$C,MATCH(VALUE(BK141)/100,Constants!$A:$A,0)))),""),""))</f>
        <v/>
      </c>
      <c r="BJ141" s="147" t="str">
        <f t="shared" si="65"/>
        <v/>
      </c>
      <c r="BK141" s="147" t="str">
        <f>_xlfn.IFNA(VALUE(INDEX(Producer!$E:$E,MATCH($D141,Producer!$A:$A,0)))*100,"")</f>
        <v/>
      </c>
      <c r="BL141" s="146" t="str">
        <f>_xlfn.IFNA(IF(IFERROR(FIND("Part &amp; Part",B141),-10)&gt;0,"PP",IF(OR(LEFT(B141,25)="Residential Interest Only",INDEX(Producer!$P:$P,MATCH($D141,Producer!$A:$A,0))="IO",INDEX(Producer!$P:$P,MATCH($D141,Producer!$A:$A,0))="Retirement Interest Only"),"IO",IF($C141="BuyToLet","CI, IO","CI"))),"")</f>
        <v/>
      </c>
      <c r="BM141" s="152" t="str">
        <f>_xlfn.IFNA(IF(BL141="IO",100%,IF(AND(INDEX(Producer!$P:$P,MATCH($D141,Producer!$A:$A,0))="Residential Interest Only Part &amp; Part",BK141=75),80%,IF(C141="BuyToLet",100%,IF(BL141="Interest Only",100%,IF(AND(INDEX(Producer!$P:$P,MATCH($D141,Producer!$A:$A,0))="Residential Interest Only Part &amp; Part",BK141=60),100%,""))))),"")</f>
        <v/>
      </c>
      <c r="BN141" s="218" t="str">
        <f>_xlfn.IFNA(IF(VALUE(INDEX(Producer!$H:$H,MATCH($D141,Producer!$A:$A,0)))=0,"",VALUE(INDEX(Producer!$H:$H,MATCH($D141,Producer!$A:$A,0)))),"")</f>
        <v/>
      </c>
      <c r="BO141" s="153"/>
      <c r="BP141" s="153"/>
      <c r="BQ141" s="219" t="str">
        <f t="shared" si="66"/>
        <v/>
      </c>
      <c r="BR141" s="146"/>
      <c r="BS141" s="146"/>
      <c r="BT141" s="146"/>
      <c r="BU141" s="146"/>
      <c r="BV141" s="219" t="str">
        <f t="shared" si="67"/>
        <v/>
      </c>
      <c r="BW141" s="146"/>
      <c r="BX141" s="146"/>
      <c r="BY141" s="146" t="str">
        <f t="shared" si="68"/>
        <v/>
      </c>
      <c r="BZ141" s="146" t="str">
        <f t="shared" si="69"/>
        <v/>
      </c>
      <c r="CA141" s="146" t="str">
        <f t="shared" si="70"/>
        <v/>
      </c>
      <c r="CB141" s="146" t="str">
        <f t="shared" si="71"/>
        <v/>
      </c>
      <c r="CC141" s="146" t="str">
        <f>_xlfn.IFNA(IF(INDEX(Producer!$P:$P,MATCH($D141,Producer!$A:$A,0))="Help to Buy","Only available","No"),"")</f>
        <v/>
      </c>
      <c r="CD141" s="146" t="str">
        <f>_xlfn.IFNA(IF(INDEX(Producer!$P:$P,MATCH($D141,Producer!$A:$A,0))="Shared Ownership","Only available","No"),"")</f>
        <v/>
      </c>
      <c r="CE141" s="146" t="str">
        <f>_xlfn.IFNA(IF(INDEX(Producer!$P:$P,MATCH($D141,Producer!$A:$A,0))="Right to Buy","Only available","No"),"")</f>
        <v/>
      </c>
      <c r="CF141" s="146" t="str">
        <f t="shared" si="72"/>
        <v/>
      </c>
      <c r="CG141" s="146" t="str">
        <f>_xlfn.IFNA(IF(INDEX(Producer!$P:$P,MATCH($D141,Producer!$A:$A,0))="Retirement Interest Only","Only available","No"),"")</f>
        <v/>
      </c>
      <c r="CH141" s="146" t="str">
        <f t="shared" si="73"/>
        <v/>
      </c>
      <c r="CI141" s="146" t="str">
        <f>_xlfn.IFNA(IF(INDEX(Producer!$P:$P,MATCH($D141,Producer!$A:$A,0))="Intermediary Holiday Let","Only available","No"),"")</f>
        <v/>
      </c>
      <c r="CJ141" s="146" t="str">
        <f t="shared" si="74"/>
        <v/>
      </c>
      <c r="CK141" s="146" t="str">
        <f>_xlfn.IFNA(IF(OR(INDEX(Producer!$P:$P,MATCH($D141,Producer!$A:$A,0))="Intermediary Small HMO",INDEX(Producer!$P:$P,MATCH($D141,Producer!$A:$A,0))="Intermediary Large HMO"),"Only available","No"),"")</f>
        <v/>
      </c>
      <c r="CL141" s="146" t="str">
        <f t="shared" si="75"/>
        <v/>
      </c>
      <c r="CM141" s="146" t="str">
        <f t="shared" si="76"/>
        <v/>
      </c>
      <c r="CN141" s="146" t="str">
        <f t="shared" si="77"/>
        <v/>
      </c>
      <c r="CO141" s="146" t="str">
        <f t="shared" si="78"/>
        <v/>
      </c>
      <c r="CP141" s="146" t="str">
        <f t="shared" si="79"/>
        <v/>
      </c>
      <c r="CQ141" s="146" t="str">
        <f t="shared" si="80"/>
        <v/>
      </c>
      <c r="CR141" s="146" t="str">
        <f t="shared" si="81"/>
        <v/>
      </c>
      <c r="CS141" s="146" t="str">
        <f t="shared" si="82"/>
        <v/>
      </c>
      <c r="CT141" s="146" t="str">
        <f t="shared" si="83"/>
        <v/>
      </c>
      <c r="CU141" s="146"/>
    </row>
    <row r="142" spans="1:99" ht="16.399999999999999" customHeight="1" x14ac:dyDescent="0.35">
      <c r="A142" s="145" t="str">
        <f t="shared" si="56"/>
        <v/>
      </c>
      <c r="B142" s="145" t="str">
        <f>_xlfn.IFNA(_xlfn.CONCAT(INDEX(Producer!$P:$P,MATCH($D142,Producer!$A:$A,0))," ",IF(INDEX(Producer!$N:$N,MATCH($D142,Producer!$A:$A,0))="Yes","Green ",""),IF(AND(INDEX(Producer!$L:$L,MATCH($D142,Producer!$A:$A,0))="No",INDEX(Producer!$C:$C,MATCH($D142,Producer!$A:$A,0))="Fixed"),"Flexit ",""),INDEX(Producer!$B:$B,MATCH($D142,Producer!$A:$A,0))," Year ",INDEX(Producer!$C:$C,MATCH($D142,Producer!$A:$A,0))," ",VALUE(INDEX(Producer!$E:$E,MATCH($D142,Producer!$A:$A,0)))*100,"% LTV",IF(INDEX(Producer!$N:$N,MATCH($D142,Producer!$A:$A,0))="Yes"," (EPC A-C)","")," - ",IF(INDEX(Producer!$D:$D,MATCH($D142,Producer!$A:$A,0))="DLY","Daily","Annual")),"")</f>
        <v/>
      </c>
      <c r="C142" s="146" t="str">
        <f>_xlfn.IFNA(INDEX(Producer!$Q:$Q,MATCH($D142,Producer!$A:$A,0)),"")</f>
        <v/>
      </c>
      <c r="D142" s="146" t="str">
        <f>IFERROR(VALUE(MID(Producer!$R$2,IF($D141="",1/0,FIND(_xlfn.CONCAT($D140,$D141),Producer!$R$2)+10),5)),"")</f>
        <v/>
      </c>
      <c r="E142" s="146" t="str">
        <f t="shared" si="57"/>
        <v/>
      </c>
      <c r="F142" s="146"/>
      <c r="G142" s="147" t="str">
        <f>_xlfn.IFNA(VALUE(INDEX(Producer!$F:$F,MATCH($D142,Producer!$A:$A,0)))*100,"")</f>
        <v/>
      </c>
      <c r="H142" s="216" t="str">
        <f>_xlfn.IFNA(IFERROR(DATEVALUE(INDEX(Producer!$M:$M,MATCH($D142,Producer!$A:$A,0))),(INDEX(Producer!$M:$M,MATCH($D142,Producer!$A:$A,0)))),"")</f>
        <v/>
      </c>
      <c r="I142" s="217" t="str">
        <f>_xlfn.IFNA(VALUE(INDEX(Producer!$B:$B,MATCH($D142,Producer!$A:$A,0)))*12,"")</f>
        <v/>
      </c>
      <c r="J142" s="146" t="str">
        <f>_xlfn.IFNA(IF(C142="Residential",IF(VALUE(INDEX(Producer!$B:$B,MATCH($D142,Producer!$A:$A,0)))&lt;5,Constants!$C$10,""),IF(VALUE(INDEX(Producer!$B:$B,MATCH($D142,Producer!$A:$A,0)))&lt;5,Constants!$C$11,"")),"")</f>
        <v/>
      </c>
      <c r="K142" s="216" t="str">
        <f>_xlfn.IFNA(IF(($I142)&lt;60,DATE(YEAR(H142)+(5-VALUE(INDEX(Producer!$B:$B,MATCH($D142,Producer!$A:$A,0)))),MONTH(H142),DAY(H142)),""),"")</f>
        <v/>
      </c>
      <c r="L142" s="153" t="str">
        <f t="shared" si="58"/>
        <v/>
      </c>
      <c r="M142" s="146"/>
      <c r="N142" s="148"/>
      <c r="O142" s="148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 t="str">
        <f>IF(D142="","",IF(C142="Residential",Constants!$B$10,Constants!$B$11))</f>
        <v/>
      </c>
      <c r="AL142" s="146" t="str">
        <f t="shared" si="59"/>
        <v/>
      </c>
      <c r="AM142" s="206" t="str">
        <f t="shared" si="60"/>
        <v/>
      </c>
      <c r="AN142" s="146" t="str">
        <f t="shared" si="61"/>
        <v/>
      </c>
      <c r="AO142" s="149" t="str">
        <f t="shared" si="62"/>
        <v/>
      </c>
      <c r="AP142" s="150" t="str">
        <f t="shared" si="63"/>
        <v/>
      </c>
      <c r="AQ142" s="146" t="str">
        <f>IFERROR(_xlfn.IFNA(IF($BA142="No",0,IF(INDEX(Constants!B:B,MATCH(($I142/12),Constants!$A:$A,0))=0,0,INDEX(Constants!B:B,MATCH(($I142/12),Constants!$A:$A,0)))),0),"")</f>
        <v/>
      </c>
      <c r="AR142" s="146" t="str">
        <f>IFERROR(_xlfn.IFNA(IF($BA142="No",0,IF(INDEX(Constants!C:C,MATCH(($I142/12),Constants!$A:$A,0))=0,0,INDEX(Constants!C:C,MATCH(($I142/12),Constants!$A:$A,0)))),0),"")</f>
        <v/>
      </c>
      <c r="AS142" s="146" t="str">
        <f>IFERROR(_xlfn.IFNA(IF($BA142="No",0,IF(INDEX(Constants!D:D,MATCH(($I142/12),Constants!$A:$A,0))=0,0,INDEX(Constants!D:D,MATCH(($I142/12),Constants!$A:$A,0)))),0),"")</f>
        <v/>
      </c>
      <c r="AT142" s="146" t="str">
        <f>IFERROR(_xlfn.IFNA(IF($BA142="No",0,IF(INDEX(Constants!E:E,MATCH(($I142/12),Constants!$A:$A,0))=0,0,INDEX(Constants!E:E,MATCH(($I142/12),Constants!$A:$A,0)))),0),"")</f>
        <v/>
      </c>
      <c r="AU142" s="146" t="str">
        <f>IFERROR(_xlfn.IFNA(IF($BA142="No",0,IF(INDEX(Constants!F:F,MATCH(($I142/12),Constants!$A:$A,0))=0,0,INDEX(Constants!F:F,MATCH(($I142/12),Constants!$A:$A,0)))),0),"")</f>
        <v/>
      </c>
      <c r="AV142" s="146" t="str">
        <f>IFERROR(_xlfn.IFNA(IF($BA142="No",0,IF(INDEX(Constants!G:G,MATCH(($I142/12),Constants!$A:$A,0))=0,0,INDEX(Constants!G:G,MATCH(($I142/12),Constants!$A:$A,0)))),0),"")</f>
        <v/>
      </c>
      <c r="AW142" s="146" t="str">
        <f>IFERROR(_xlfn.IFNA(IF($BA142="No",0,IF(INDEX(Constants!H:H,MATCH(($I142/12),Constants!$A:$A,0))=0,0,INDEX(Constants!H:H,MATCH(($I142/12),Constants!$A:$A,0)))),0),"")</f>
        <v/>
      </c>
      <c r="AX142" s="146" t="str">
        <f>IFERROR(_xlfn.IFNA(IF($BA142="No",0,IF(INDEX(Constants!I:I,MATCH(($I142/12),Constants!$A:$A,0))=0,0,INDEX(Constants!I:I,MATCH(($I142/12),Constants!$A:$A,0)))),0),"")</f>
        <v/>
      </c>
      <c r="AY142" s="146" t="str">
        <f>IFERROR(_xlfn.IFNA(IF($BA142="No",0,IF(INDEX(Constants!J:J,MATCH(($I142/12),Constants!$A:$A,0))=0,0,INDEX(Constants!J:J,MATCH(($I142/12),Constants!$A:$A,0)))),0),"")</f>
        <v/>
      </c>
      <c r="AZ142" s="146" t="str">
        <f>IFERROR(_xlfn.IFNA(IF($BA142="No",0,IF(INDEX(Constants!K:K,MATCH(($I142/12),Constants!$A:$A,0))=0,0,INDEX(Constants!K:K,MATCH(($I142/12),Constants!$A:$A,0)))),0),"")</f>
        <v/>
      </c>
      <c r="BA142" s="147" t="str">
        <f>_xlfn.IFNA(INDEX(Producer!$L:$L,MATCH($D142,Producer!$A:$A,0)),"")</f>
        <v/>
      </c>
      <c r="BB142" s="146" t="str">
        <f>IFERROR(IF(AQ142=0,"",IF(($I142/12)=15,_xlfn.CONCAT(Constants!$N$7,TEXT(DATE(YEAR(H142)-(($I142/12)-3),MONTH(H142),DAY(H142)),"dd/mm/yyyy"),", ",Constants!$P$7,TEXT(DATE(YEAR(H142)-(($I142/12)-8),MONTH(H142),DAY(H142)),"dd/mm/yyyy"),", ",Constants!$T$7,TEXT(DATE(YEAR(H142)-(($I142/12)-11),MONTH(H142),DAY(H142)),"dd/mm/yyyy"),", ",Constants!$V$7,TEXT(DATE(YEAR(H142)-(($I142/12)-13),MONTH(H142),DAY(H142)),"dd/mm/yyyy"),", ",Constants!$W$7,TEXT($H142,"dd/mm/yyyy")),IF(($I142/12)=10,_xlfn.CONCAT(Constants!$N$6,TEXT(DATE(YEAR(H142)-(($I142/12)-2),MONTH(H142),DAY(H142)),"dd/mm/yyyy"),", ",Constants!$P$6,TEXT(DATE(YEAR(H142)-(($I142/12)-6),MONTH(H142),DAY(H142)),"dd/mm/yyyy"),", ",Constants!$T$6,TEXT(DATE(YEAR(H142)-(($I142/12)-8),MONTH(H142),DAY(H142)),"dd/mm/yyyy"),", ",Constants!$V$6,TEXT(DATE(YEAR(H142)-(($I142/12)-9),MONTH(H142),DAY(H142)),"dd/mm/yyyy"),", ",Constants!$W$6,TEXT($H142,"dd/mm/yyyy")),IF(($I142/12)=5,_xlfn.CONCAT(Constants!$N$5,TEXT(DATE(YEAR(H142)-(($I142/12)-1),MONTH(H142),DAY(H142)),"dd/mm/yyyy"),", ",Constants!$O$5,TEXT(DATE(YEAR(H142)-(($I142/12)-2),MONTH(H142),DAY(H142)),"dd/mm/yyyy"),", ",Constants!$P$5,TEXT(DATE(YEAR(H142)-(($I142/12)-3),MONTH(H142),DAY(H142)),"dd/mm/yyyy"),", ",Constants!$Q$5,TEXT(DATE(YEAR(H142)-(($I142/12)-4),MONTH(H142),DAY(H142)),"dd/mm/yyyy"),", ",Constants!$R$5,TEXT($H142,"dd/mm/yyyy")),IF(($I142/12)=3,_xlfn.CONCAT(Constants!$N$4,TEXT(DATE(YEAR(H142)-(($I142/12)-1),MONTH(H142),DAY(H142)),"dd/mm/yyyy"),", ",Constants!$O$4,TEXT(DATE(YEAR(H142)-(($I142/12)-2),MONTH(H142),DAY(H142)),"dd/mm/yyyy"),", ",Constants!$P$4,TEXT($H142,"dd/mm/yyyy")),IF(($I142/12)=2,_xlfn.CONCAT(Constants!$N$3,TEXT(DATE(YEAR(H142)-(($I142/12)-1),MONTH(H142),DAY(H142)),"dd/mm/yyyy"),", ",Constants!$O$3,TEXT($H142,"dd/mm/yyyy")),IF(($I142/12)=1,_xlfn.CONCAT(Constants!$N$2,TEXT($H142,"dd/mm/yyyy")),"Update Constants"))))))),"")</f>
        <v/>
      </c>
      <c r="BC142" s="147" t="str">
        <f>_xlfn.IFNA(VALUE(INDEX(Producer!$K:$K,MATCH($D142,Producer!$A:$A,0))),"")</f>
        <v/>
      </c>
      <c r="BD142" s="147" t="str">
        <f>_xlfn.IFNA(INDEX(Producer!$I:$I,MATCH($D142,Producer!$A:$A,0)),"")</f>
        <v/>
      </c>
      <c r="BE142" s="147" t="str">
        <f t="shared" si="64"/>
        <v/>
      </c>
      <c r="BF142" s="147"/>
      <c r="BG142" s="147"/>
      <c r="BH142" s="151" t="str">
        <f>_xlfn.IFNA(INDEX(Constants!$B:$B,MATCH(BC142,Constants!A:A,0)),"")</f>
        <v/>
      </c>
      <c r="BI142" s="147" t="str">
        <f>IF(LEFT(B142,15)="Limited Company",Constants!$D$16,IFERROR(_xlfn.IFNA(IF(C142="Residential",IF(BK142&lt;75,INDEX(Constants!$B:$B,MATCH(VALUE(60)/100,Constants!$A:$A,0)),INDEX(Constants!$B:$B,MATCH(VALUE(BK142)/100,Constants!$A:$A,0))),IF(BK142&lt;60,INDEX(Constants!$C:$C,MATCH(VALUE(60)/100,Constants!$A:$A,0)),INDEX(Constants!$C:$C,MATCH(VALUE(BK142)/100,Constants!$A:$A,0)))),""),""))</f>
        <v/>
      </c>
      <c r="BJ142" s="147" t="str">
        <f t="shared" si="65"/>
        <v/>
      </c>
      <c r="BK142" s="147" t="str">
        <f>_xlfn.IFNA(VALUE(INDEX(Producer!$E:$E,MATCH($D142,Producer!$A:$A,0)))*100,"")</f>
        <v/>
      </c>
      <c r="BL142" s="146" t="str">
        <f>_xlfn.IFNA(IF(IFERROR(FIND("Part &amp; Part",B142),-10)&gt;0,"PP",IF(OR(LEFT(B142,25)="Residential Interest Only",INDEX(Producer!$P:$P,MATCH($D142,Producer!$A:$A,0))="IO",INDEX(Producer!$P:$P,MATCH($D142,Producer!$A:$A,0))="Retirement Interest Only"),"IO",IF($C142="BuyToLet","CI, IO","CI"))),"")</f>
        <v/>
      </c>
      <c r="BM142" s="152" t="str">
        <f>_xlfn.IFNA(IF(BL142="IO",100%,IF(AND(INDEX(Producer!$P:$P,MATCH($D142,Producer!$A:$A,0))="Residential Interest Only Part &amp; Part",BK142=75),80%,IF(C142="BuyToLet",100%,IF(BL142="Interest Only",100%,IF(AND(INDEX(Producer!$P:$P,MATCH($D142,Producer!$A:$A,0))="Residential Interest Only Part &amp; Part",BK142=60),100%,""))))),"")</f>
        <v/>
      </c>
      <c r="BN142" s="218" t="str">
        <f>_xlfn.IFNA(IF(VALUE(INDEX(Producer!$H:$H,MATCH($D142,Producer!$A:$A,0)))=0,"",VALUE(INDEX(Producer!$H:$H,MATCH($D142,Producer!$A:$A,0)))),"")</f>
        <v/>
      </c>
      <c r="BO142" s="153"/>
      <c r="BP142" s="153"/>
      <c r="BQ142" s="219" t="str">
        <f t="shared" si="66"/>
        <v/>
      </c>
      <c r="BR142" s="146"/>
      <c r="BS142" s="146"/>
      <c r="BT142" s="146"/>
      <c r="BU142" s="146"/>
      <c r="BV142" s="219" t="str">
        <f t="shared" si="67"/>
        <v/>
      </c>
      <c r="BW142" s="146"/>
      <c r="BX142" s="146"/>
      <c r="BY142" s="146" t="str">
        <f t="shared" si="68"/>
        <v/>
      </c>
      <c r="BZ142" s="146" t="str">
        <f t="shared" si="69"/>
        <v/>
      </c>
      <c r="CA142" s="146" t="str">
        <f t="shared" si="70"/>
        <v/>
      </c>
      <c r="CB142" s="146" t="str">
        <f t="shared" si="71"/>
        <v/>
      </c>
      <c r="CC142" s="146" t="str">
        <f>_xlfn.IFNA(IF(INDEX(Producer!$P:$P,MATCH($D142,Producer!$A:$A,0))="Help to Buy","Only available","No"),"")</f>
        <v/>
      </c>
      <c r="CD142" s="146" t="str">
        <f>_xlfn.IFNA(IF(INDEX(Producer!$P:$P,MATCH($D142,Producer!$A:$A,0))="Shared Ownership","Only available","No"),"")</f>
        <v/>
      </c>
      <c r="CE142" s="146" t="str">
        <f>_xlfn.IFNA(IF(INDEX(Producer!$P:$P,MATCH($D142,Producer!$A:$A,0))="Right to Buy","Only available","No"),"")</f>
        <v/>
      </c>
      <c r="CF142" s="146" t="str">
        <f t="shared" si="72"/>
        <v/>
      </c>
      <c r="CG142" s="146" t="str">
        <f>_xlfn.IFNA(IF(INDEX(Producer!$P:$P,MATCH($D142,Producer!$A:$A,0))="Retirement Interest Only","Only available","No"),"")</f>
        <v/>
      </c>
      <c r="CH142" s="146" t="str">
        <f t="shared" si="73"/>
        <v/>
      </c>
      <c r="CI142" s="146" t="str">
        <f>_xlfn.IFNA(IF(INDEX(Producer!$P:$P,MATCH($D142,Producer!$A:$A,0))="Intermediary Holiday Let","Only available","No"),"")</f>
        <v/>
      </c>
      <c r="CJ142" s="146" t="str">
        <f t="shared" si="74"/>
        <v/>
      </c>
      <c r="CK142" s="146" t="str">
        <f>_xlfn.IFNA(IF(OR(INDEX(Producer!$P:$P,MATCH($D142,Producer!$A:$A,0))="Intermediary Small HMO",INDEX(Producer!$P:$P,MATCH($D142,Producer!$A:$A,0))="Intermediary Large HMO"),"Only available","No"),"")</f>
        <v/>
      </c>
      <c r="CL142" s="146" t="str">
        <f t="shared" si="75"/>
        <v/>
      </c>
      <c r="CM142" s="146" t="str">
        <f t="shared" si="76"/>
        <v/>
      </c>
      <c r="CN142" s="146" t="str">
        <f t="shared" si="77"/>
        <v/>
      </c>
      <c r="CO142" s="146" t="str">
        <f t="shared" si="78"/>
        <v/>
      </c>
      <c r="CP142" s="146" t="str">
        <f t="shared" si="79"/>
        <v/>
      </c>
      <c r="CQ142" s="146" t="str">
        <f t="shared" si="80"/>
        <v/>
      </c>
      <c r="CR142" s="146" t="str">
        <f t="shared" si="81"/>
        <v/>
      </c>
      <c r="CS142" s="146" t="str">
        <f t="shared" si="82"/>
        <v/>
      </c>
      <c r="CT142" s="146" t="str">
        <f t="shared" si="83"/>
        <v/>
      </c>
      <c r="CU142" s="146"/>
    </row>
    <row r="143" spans="1:99" ht="16.399999999999999" customHeight="1" x14ac:dyDescent="0.35">
      <c r="A143" s="145" t="str">
        <f t="shared" si="56"/>
        <v/>
      </c>
      <c r="B143" s="145" t="str">
        <f>_xlfn.IFNA(_xlfn.CONCAT(INDEX(Producer!$P:$P,MATCH($D143,Producer!$A:$A,0))," ",IF(INDEX(Producer!$N:$N,MATCH($D143,Producer!$A:$A,0))="Yes","Green ",""),IF(AND(INDEX(Producer!$L:$L,MATCH($D143,Producer!$A:$A,0))="No",INDEX(Producer!$C:$C,MATCH($D143,Producer!$A:$A,0))="Fixed"),"Flexit ",""),INDEX(Producer!$B:$B,MATCH($D143,Producer!$A:$A,0))," Year ",INDEX(Producer!$C:$C,MATCH($D143,Producer!$A:$A,0))," ",VALUE(INDEX(Producer!$E:$E,MATCH($D143,Producer!$A:$A,0)))*100,"% LTV",IF(INDEX(Producer!$N:$N,MATCH($D143,Producer!$A:$A,0))="Yes"," (EPC A-C)","")," - ",IF(INDEX(Producer!$D:$D,MATCH($D143,Producer!$A:$A,0))="DLY","Daily","Annual")),"")</f>
        <v/>
      </c>
      <c r="C143" s="146" t="str">
        <f>_xlfn.IFNA(INDEX(Producer!$Q:$Q,MATCH($D143,Producer!$A:$A,0)),"")</f>
        <v/>
      </c>
      <c r="D143" s="146" t="str">
        <f>IFERROR(VALUE(MID(Producer!$R$2,IF($D142="",1/0,FIND(_xlfn.CONCAT($D141,$D142),Producer!$R$2)+10),5)),"")</f>
        <v/>
      </c>
      <c r="E143" s="146" t="str">
        <f t="shared" si="57"/>
        <v/>
      </c>
      <c r="F143" s="146"/>
      <c r="G143" s="147" t="str">
        <f>_xlfn.IFNA(VALUE(INDEX(Producer!$F:$F,MATCH($D143,Producer!$A:$A,0)))*100,"")</f>
        <v/>
      </c>
      <c r="H143" s="216" t="str">
        <f>_xlfn.IFNA(IFERROR(DATEVALUE(INDEX(Producer!$M:$M,MATCH($D143,Producer!$A:$A,0))),(INDEX(Producer!$M:$M,MATCH($D143,Producer!$A:$A,0)))),"")</f>
        <v/>
      </c>
      <c r="I143" s="217" t="str">
        <f>_xlfn.IFNA(VALUE(INDEX(Producer!$B:$B,MATCH($D143,Producer!$A:$A,0)))*12,"")</f>
        <v/>
      </c>
      <c r="J143" s="146" t="str">
        <f>_xlfn.IFNA(IF(C143="Residential",IF(VALUE(INDEX(Producer!$B:$B,MATCH($D143,Producer!$A:$A,0)))&lt;5,Constants!$C$10,""),IF(VALUE(INDEX(Producer!$B:$B,MATCH($D143,Producer!$A:$A,0)))&lt;5,Constants!$C$11,"")),"")</f>
        <v/>
      </c>
      <c r="K143" s="216" t="str">
        <f>_xlfn.IFNA(IF(($I143)&lt;60,DATE(YEAR(H143)+(5-VALUE(INDEX(Producer!$B:$B,MATCH($D143,Producer!$A:$A,0)))),MONTH(H143),DAY(H143)),""),"")</f>
        <v/>
      </c>
      <c r="L143" s="153" t="str">
        <f t="shared" si="58"/>
        <v/>
      </c>
      <c r="M143" s="146"/>
      <c r="N143" s="148"/>
      <c r="O143" s="148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 t="str">
        <f>IF(D143="","",IF(C143="Residential",Constants!$B$10,Constants!$B$11))</f>
        <v/>
      </c>
      <c r="AL143" s="146" t="str">
        <f t="shared" si="59"/>
        <v/>
      </c>
      <c r="AM143" s="206" t="str">
        <f t="shared" si="60"/>
        <v/>
      </c>
      <c r="AN143" s="146" t="str">
        <f t="shared" si="61"/>
        <v/>
      </c>
      <c r="AO143" s="149" t="str">
        <f t="shared" si="62"/>
        <v/>
      </c>
      <c r="AP143" s="150" t="str">
        <f t="shared" si="63"/>
        <v/>
      </c>
      <c r="AQ143" s="146" t="str">
        <f>IFERROR(_xlfn.IFNA(IF($BA143="No",0,IF(INDEX(Constants!B:B,MATCH(($I143/12),Constants!$A:$A,0))=0,0,INDEX(Constants!B:B,MATCH(($I143/12),Constants!$A:$A,0)))),0),"")</f>
        <v/>
      </c>
      <c r="AR143" s="146" t="str">
        <f>IFERROR(_xlfn.IFNA(IF($BA143="No",0,IF(INDEX(Constants!C:C,MATCH(($I143/12),Constants!$A:$A,0))=0,0,INDEX(Constants!C:C,MATCH(($I143/12),Constants!$A:$A,0)))),0),"")</f>
        <v/>
      </c>
      <c r="AS143" s="146" t="str">
        <f>IFERROR(_xlfn.IFNA(IF($BA143="No",0,IF(INDEX(Constants!D:D,MATCH(($I143/12),Constants!$A:$A,0))=0,0,INDEX(Constants!D:D,MATCH(($I143/12),Constants!$A:$A,0)))),0),"")</f>
        <v/>
      </c>
      <c r="AT143" s="146" t="str">
        <f>IFERROR(_xlfn.IFNA(IF($BA143="No",0,IF(INDEX(Constants!E:E,MATCH(($I143/12),Constants!$A:$A,0))=0,0,INDEX(Constants!E:E,MATCH(($I143/12),Constants!$A:$A,0)))),0),"")</f>
        <v/>
      </c>
      <c r="AU143" s="146" t="str">
        <f>IFERROR(_xlfn.IFNA(IF($BA143="No",0,IF(INDEX(Constants!F:F,MATCH(($I143/12),Constants!$A:$A,0))=0,0,INDEX(Constants!F:F,MATCH(($I143/12),Constants!$A:$A,0)))),0),"")</f>
        <v/>
      </c>
      <c r="AV143" s="146" t="str">
        <f>IFERROR(_xlfn.IFNA(IF($BA143="No",0,IF(INDEX(Constants!G:G,MATCH(($I143/12),Constants!$A:$A,0))=0,0,INDEX(Constants!G:G,MATCH(($I143/12),Constants!$A:$A,0)))),0),"")</f>
        <v/>
      </c>
      <c r="AW143" s="146" t="str">
        <f>IFERROR(_xlfn.IFNA(IF($BA143="No",0,IF(INDEX(Constants!H:H,MATCH(($I143/12),Constants!$A:$A,0))=0,0,INDEX(Constants!H:H,MATCH(($I143/12),Constants!$A:$A,0)))),0),"")</f>
        <v/>
      </c>
      <c r="AX143" s="146" t="str">
        <f>IFERROR(_xlfn.IFNA(IF($BA143="No",0,IF(INDEX(Constants!I:I,MATCH(($I143/12),Constants!$A:$A,0))=0,0,INDEX(Constants!I:I,MATCH(($I143/12),Constants!$A:$A,0)))),0),"")</f>
        <v/>
      </c>
      <c r="AY143" s="146" t="str">
        <f>IFERROR(_xlfn.IFNA(IF($BA143="No",0,IF(INDEX(Constants!J:J,MATCH(($I143/12),Constants!$A:$A,0))=0,0,INDEX(Constants!J:J,MATCH(($I143/12),Constants!$A:$A,0)))),0),"")</f>
        <v/>
      </c>
      <c r="AZ143" s="146" t="str">
        <f>IFERROR(_xlfn.IFNA(IF($BA143="No",0,IF(INDEX(Constants!K:K,MATCH(($I143/12),Constants!$A:$A,0))=0,0,INDEX(Constants!K:K,MATCH(($I143/12),Constants!$A:$A,0)))),0),"")</f>
        <v/>
      </c>
      <c r="BA143" s="147" t="str">
        <f>_xlfn.IFNA(INDEX(Producer!$L:$L,MATCH($D143,Producer!$A:$A,0)),"")</f>
        <v/>
      </c>
      <c r="BB143" s="146" t="str">
        <f>IFERROR(IF(AQ143=0,"",IF(($I143/12)=15,_xlfn.CONCAT(Constants!$N$7,TEXT(DATE(YEAR(H143)-(($I143/12)-3),MONTH(H143),DAY(H143)),"dd/mm/yyyy"),", ",Constants!$P$7,TEXT(DATE(YEAR(H143)-(($I143/12)-8),MONTH(H143),DAY(H143)),"dd/mm/yyyy"),", ",Constants!$T$7,TEXT(DATE(YEAR(H143)-(($I143/12)-11),MONTH(H143),DAY(H143)),"dd/mm/yyyy"),", ",Constants!$V$7,TEXT(DATE(YEAR(H143)-(($I143/12)-13),MONTH(H143),DAY(H143)),"dd/mm/yyyy"),", ",Constants!$W$7,TEXT($H143,"dd/mm/yyyy")),IF(($I143/12)=10,_xlfn.CONCAT(Constants!$N$6,TEXT(DATE(YEAR(H143)-(($I143/12)-2),MONTH(H143),DAY(H143)),"dd/mm/yyyy"),", ",Constants!$P$6,TEXT(DATE(YEAR(H143)-(($I143/12)-6),MONTH(H143),DAY(H143)),"dd/mm/yyyy"),", ",Constants!$T$6,TEXT(DATE(YEAR(H143)-(($I143/12)-8),MONTH(H143),DAY(H143)),"dd/mm/yyyy"),", ",Constants!$V$6,TEXT(DATE(YEAR(H143)-(($I143/12)-9),MONTH(H143),DAY(H143)),"dd/mm/yyyy"),", ",Constants!$W$6,TEXT($H143,"dd/mm/yyyy")),IF(($I143/12)=5,_xlfn.CONCAT(Constants!$N$5,TEXT(DATE(YEAR(H143)-(($I143/12)-1),MONTH(H143),DAY(H143)),"dd/mm/yyyy"),", ",Constants!$O$5,TEXT(DATE(YEAR(H143)-(($I143/12)-2),MONTH(H143),DAY(H143)),"dd/mm/yyyy"),", ",Constants!$P$5,TEXT(DATE(YEAR(H143)-(($I143/12)-3),MONTH(H143),DAY(H143)),"dd/mm/yyyy"),", ",Constants!$Q$5,TEXT(DATE(YEAR(H143)-(($I143/12)-4),MONTH(H143),DAY(H143)),"dd/mm/yyyy"),", ",Constants!$R$5,TEXT($H143,"dd/mm/yyyy")),IF(($I143/12)=3,_xlfn.CONCAT(Constants!$N$4,TEXT(DATE(YEAR(H143)-(($I143/12)-1),MONTH(H143),DAY(H143)),"dd/mm/yyyy"),", ",Constants!$O$4,TEXT(DATE(YEAR(H143)-(($I143/12)-2),MONTH(H143),DAY(H143)),"dd/mm/yyyy"),", ",Constants!$P$4,TEXT($H143,"dd/mm/yyyy")),IF(($I143/12)=2,_xlfn.CONCAT(Constants!$N$3,TEXT(DATE(YEAR(H143)-(($I143/12)-1),MONTH(H143),DAY(H143)),"dd/mm/yyyy"),", ",Constants!$O$3,TEXT($H143,"dd/mm/yyyy")),IF(($I143/12)=1,_xlfn.CONCAT(Constants!$N$2,TEXT($H143,"dd/mm/yyyy")),"Update Constants"))))))),"")</f>
        <v/>
      </c>
      <c r="BC143" s="147" t="str">
        <f>_xlfn.IFNA(VALUE(INDEX(Producer!$K:$K,MATCH($D143,Producer!$A:$A,0))),"")</f>
        <v/>
      </c>
      <c r="BD143" s="147" t="str">
        <f>_xlfn.IFNA(INDEX(Producer!$I:$I,MATCH($D143,Producer!$A:$A,0)),"")</f>
        <v/>
      </c>
      <c r="BE143" s="147" t="str">
        <f t="shared" si="64"/>
        <v/>
      </c>
      <c r="BF143" s="147"/>
      <c r="BG143" s="147"/>
      <c r="BH143" s="151" t="str">
        <f>_xlfn.IFNA(INDEX(Constants!$B:$B,MATCH(BC143,Constants!A:A,0)),"")</f>
        <v/>
      </c>
      <c r="BI143" s="147" t="str">
        <f>IF(LEFT(B143,15)="Limited Company",Constants!$D$16,IFERROR(_xlfn.IFNA(IF(C143="Residential",IF(BK143&lt;75,INDEX(Constants!$B:$B,MATCH(VALUE(60)/100,Constants!$A:$A,0)),INDEX(Constants!$B:$B,MATCH(VALUE(BK143)/100,Constants!$A:$A,0))),IF(BK143&lt;60,INDEX(Constants!$C:$C,MATCH(VALUE(60)/100,Constants!$A:$A,0)),INDEX(Constants!$C:$C,MATCH(VALUE(BK143)/100,Constants!$A:$A,0)))),""),""))</f>
        <v/>
      </c>
      <c r="BJ143" s="147" t="str">
        <f t="shared" si="65"/>
        <v/>
      </c>
      <c r="BK143" s="147" t="str">
        <f>_xlfn.IFNA(VALUE(INDEX(Producer!$E:$E,MATCH($D143,Producer!$A:$A,0)))*100,"")</f>
        <v/>
      </c>
      <c r="BL143" s="146" t="str">
        <f>_xlfn.IFNA(IF(IFERROR(FIND("Part &amp; Part",B143),-10)&gt;0,"PP",IF(OR(LEFT(B143,25)="Residential Interest Only",INDEX(Producer!$P:$P,MATCH($D143,Producer!$A:$A,0))="IO",INDEX(Producer!$P:$P,MATCH($D143,Producer!$A:$A,0))="Retirement Interest Only"),"IO",IF($C143="BuyToLet","CI, IO","CI"))),"")</f>
        <v/>
      </c>
      <c r="BM143" s="152" t="str">
        <f>_xlfn.IFNA(IF(BL143="IO",100%,IF(AND(INDEX(Producer!$P:$P,MATCH($D143,Producer!$A:$A,0))="Residential Interest Only Part &amp; Part",BK143=75),80%,IF(C143="BuyToLet",100%,IF(BL143="Interest Only",100%,IF(AND(INDEX(Producer!$P:$P,MATCH($D143,Producer!$A:$A,0))="Residential Interest Only Part &amp; Part",BK143=60),100%,""))))),"")</f>
        <v/>
      </c>
      <c r="BN143" s="218" t="str">
        <f>_xlfn.IFNA(IF(VALUE(INDEX(Producer!$H:$H,MATCH($D143,Producer!$A:$A,0)))=0,"",VALUE(INDEX(Producer!$H:$H,MATCH($D143,Producer!$A:$A,0)))),"")</f>
        <v/>
      </c>
      <c r="BO143" s="153"/>
      <c r="BP143" s="153"/>
      <c r="BQ143" s="219" t="str">
        <f t="shared" si="66"/>
        <v/>
      </c>
      <c r="BR143" s="146"/>
      <c r="BS143" s="146"/>
      <c r="BT143" s="146"/>
      <c r="BU143" s="146"/>
      <c r="BV143" s="219" t="str">
        <f t="shared" si="67"/>
        <v/>
      </c>
      <c r="BW143" s="146"/>
      <c r="BX143" s="146"/>
      <c r="BY143" s="146" t="str">
        <f t="shared" si="68"/>
        <v/>
      </c>
      <c r="BZ143" s="146" t="str">
        <f t="shared" si="69"/>
        <v/>
      </c>
      <c r="CA143" s="146" t="str">
        <f t="shared" si="70"/>
        <v/>
      </c>
      <c r="CB143" s="146" t="str">
        <f t="shared" si="71"/>
        <v/>
      </c>
      <c r="CC143" s="146" t="str">
        <f>_xlfn.IFNA(IF(INDEX(Producer!$P:$P,MATCH($D143,Producer!$A:$A,0))="Help to Buy","Only available","No"),"")</f>
        <v/>
      </c>
      <c r="CD143" s="146" t="str">
        <f>_xlfn.IFNA(IF(INDEX(Producer!$P:$P,MATCH($D143,Producer!$A:$A,0))="Shared Ownership","Only available","No"),"")</f>
        <v/>
      </c>
      <c r="CE143" s="146" t="str">
        <f>_xlfn.IFNA(IF(INDEX(Producer!$P:$P,MATCH($D143,Producer!$A:$A,0))="Right to Buy","Only available","No"),"")</f>
        <v/>
      </c>
      <c r="CF143" s="146" t="str">
        <f t="shared" si="72"/>
        <v/>
      </c>
      <c r="CG143" s="146" t="str">
        <f>_xlfn.IFNA(IF(INDEX(Producer!$P:$P,MATCH($D143,Producer!$A:$A,0))="Retirement Interest Only","Only available","No"),"")</f>
        <v/>
      </c>
      <c r="CH143" s="146" t="str">
        <f t="shared" si="73"/>
        <v/>
      </c>
      <c r="CI143" s="146" t="str">
        <f>_xlfn.IFNA(IF(INDEX(Producer!$P:$P,MATCH($D143,Producer!$A:$A,0))="Intermediary Holiday Let","Only available","No"),"")</f>
        <v/>
      </c>
      <c r="CJ143" s="146" t="str">
        <f t="shared" si="74"/>
        <v/>
      </c>
      <c r="CK143" s="146" t="str">
        <f>_xlfn.IFNA(IF(OR(INDEX(Producer!$P:$P,MATCH($D143,Producer!$A:$A,0))="Intermediary Small HMO",INDEX(Producer!$P:$P,MATCH($D143,Producer!$A:$A,0))="Intermediary Large HMO"),"Only available","No"),"")</f>
        <v/>
      </c>
      <c r="CL143" s="146" t="str">
        <f t="shared" si="75"/>
        <v/>
      </c>
      <c r="CM143" s="146" t="str">
        <f t="shared" si="76"/>
        <v/>
      </c>
      <c r="CN143" s="146" t="str">
        <f t="shared" si="77"/>
        <v/>
      </c>
      <c r="CO143" s="146" t="str">
        <f t="shared" si="78"/>
        <v/>
      </c>
      <c r="CP143" s="146" t="str">
        <f t="shared" si="79"/>
        <v/>
      </c>
      <c r="CQ143" s="146" t="str">
        <f t="shared" si="80"/>
        <v/>
      </c>
      <c r="CR143" s="146" t="str">
        <f t="shared" si="81"/>
        <v/>
      </c>
      <c r="CS143" s="146" t="str">
        <f t="shared" si="82"/>
        <v/>
      </c>
      <c r="CT143" s="146" t="str">
        <f t="shared" si="83"/>
        <v/>
      </c>
      <c r="CU143" s="146"/>
    </row>
    <row r="144" spans="1:99" ht="16.399999999999999" customHeight="1" x14ac:dyDescent="0.35">
      <c r="A144" s="145" t="str">
        <f t="shared" si="56"/>
        <v/>
      </c>
      <c r="B144" s="145" t="str">
        <f>_xlfn.IFNA(_xlfn.CONCAT(INDEX(Producer!$P:$P,MATCH($D144,Producer!$A:$A,0))," ",IF(INDEX(Producer!$N:$N,MATCH($D144,Producer!$A:$A,0))="Yes","Green ",""),IF(AND(INDEX(Producer!$L:$L,MATCH($D144,Producer!$A:$A,0))="No",INDEX(Producer!$C:$C,MATCH($D144,Producer!$A:$A,0))="Fixed"),"Flexit ",""),INDEX(Producer!$B:$B,MATCH($D144,Producer!$A:$A,0))," Year ",INDEX(Producer!$C:$C,MATCH($D144,Producer!$A:$A,0))," ",VALUE(INDEX(Producer!$E:$E,MATCH($D144,Producer!$A:$A,0)))*100,"% LTV",IF(INDEX(Producer!$N:$N,MATCH($D144,Producer!$A:$A,0))="Yes"," (EPC A-C)","")," - ",IF(INDEX(Producer!$D:$D,MATCH($D144,Producer!$A:$A,0))="DLY","Daily","Annual")),"")</f>
        <v/>
      </c>
      <c r="C144" s="146" t="str">
        <f>_xlfn.IFNA(INDEX(Producer!$Q:$Q,MATCH($D144,Producer!$A:$A,0)),"")</f>
        <v/>
      </c>
      <c r="D144" s="146" t="str">
        <f>IFERROR(VALUE(MID(Producer!$R$2,IF($D143="",1/0,FIND(_xlfn.CONCAT($D142,$D143),Producer!$R$2)+10),5)),"")</f>
        <v/>
      </c>
      <c r="E144" s="146" t="str">
        <f t="shared" si="57"/>
        <v/>
      </c>
      <c r="F144" s="146"/>
      <c r="G144" s="147" t="str">
        <f>_xlfn.IFNA(VALUE(INDEX(Producer!$F:$F,MATCH($D144,Producer!$A:$A,0)))*100,"")</f>
        <v/>
      </c>
      <c r="H144" s="216" t="str">
        <f>_xlfn.IFNA(IFERROR(DATEVALUE(INDEX(Producer!$M:$M,MATCH($D144,Producer!$A:$A,0))),(INDEX(Producer!$M:$M,MATCH($D144,Producer!$A:$A,0)))),"")</f>
        <v/>
      </c>
      <c r="I144" s="217" t="str">
        <f>_xlfn.IFNA(VALUE(INDEX(Producer!$B:$B,MATCH($D144,Producer!$A:$A,0)))*12,"")</f>
        <v/>
      </c>
      <c r="J144" s="146" t="str">
        <f>_xlfn.IFNA(IF(C144="Residential",IF(VALUE(INDEX(Producer!$B:$B,MATCH($D144,Producer!$A:$A,0)))&lt;5,Constants!$C$10,""),IF(VALUE(INDEX(Producer!$B:$B,MATCH($D144,Producer!$A:$A,0)))&lt;5,Constants!$C$11,"")),"")</f>
        <v/>
      </c>
      <c r="K144" s="216" t="str">
        <f>_xlfn.IFNA(IF(($I144)&lt;60,DATE(YEAR(H144)+(5-VALUE(INDEX(Producer!$B:$B,MATCH($D144,Producer!$A:$A,0)))),MONTH(H144),DAY(H144)),""),"")</f>
        <v/>
      </c>
      <c r="L144" s="153" t="str">
        <f t="shared" si="58"/>
        <v/>
      </c>
      <c r="M144" s="146"/>
      <c r="N144" s="148"/>
      <c r="O144" s="148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 t="str">
        <f>IF(D144="","",IF(C144="Residential",Constants!$B$10,Constants!$B$11))</f>
        <v/>
      </c>
      <c r="AL144" s="146" t="str">
        <f t="shared" si="59"/>
        <v/>
      </c>
      <c r="AM144" s="206" t="str">
        <f t="shared" si="60"/>
        <v/>
      </c>
      <c r="AN144" s="146" t="str">
        <f t="shared" si="61"/>
        <v/>
      </c>
      <c r="AO144" s="149" t="str">
        <f t="shared" si="62"/>
        <v/>
      </c>
      <c r="AP144" s="150" t="str">
        <f t="shared" si="63"/>
        <v/>
      </c>
      <c r="AQ144" s="146" t="str">
        <f>IFERROR(_xlfn.IFNA(IF($BA144="No",0,IF(INDEX(Constants!B:B,MATCH(($I144/12),Constants!$A:$A,0))=0,0,INDEX(Constants!B:B,MATCH(($I144/12),Constants!$A:$A,0)))),0),"")</f>
        <v/>
      </c>
      <c r="AR144" s="146" t="str">
        <f>IFERROR(_xlfn.IFNA(IF($BA144="No",0,IF(INDEX(Constants!C:C,MATCH(($I144/12),Constants!$A:$A,0))=0,0,INDEX(Constants!C:C,MATCH(($I144/12),Constants!$A:$A,0)))),0),"")</f>
        <v/>
      </c>
      <c r="AS144" s="146" t="str">
        <f>IFERROR(_xlfn.IFNA(IF($BA144="No",0,IF(INDEX(Constants!D:D,MATCH(($I144/12),Constants!$A:$A,0))=0,0,INDEX(Constants!D:D,MATCH(($I144/12),Constants!$A:$A,0)))),0),"")</f>
        <v/>
      </c>
      <c r="AT144" s="146" t="str">
        <f>IFERROR(_xlfn.IFNA(IF($BA144="No",0,IF(INDEX(Constants!E:E,MATCH(($I144/12),Constants!$A:$A,0))=0,0,INDEX(Constants!E:E,MATCH(($I144/12),Constants!$A:$A,0)))),0),"")</f>
        <v/>
      </c>
      <c r="AU144" s="146" t="str">
        <f>IFERROR(_xlfn.IFNA(IF($BA144="No",0,IF(INDEX(Constants!F:F,MATCH(($I144/12),Constants!$A:$A,0))=0,0,INDEX(Constants!F:F,MATCH(($I144/12),Constants!$A:$A,0)))),0),"")</f>
        <v/>
      </c>
      <c r="AV144" s="146" t="str">
        <f>IFERROR(_xlfn.IFNA(IF($BA144="No",0,IF(INDEX(Constants!G:G,MATCH(($I144/12),Constants!$A:$A,0))=0,0,INDEX(Constants!G:G,MATCH(($I144/12),Constants!$A:$A,0)))),0),"")</f>
        <v/>
      </c>
      <c r="AW144" s="146" t="str">
        <f>IFERROR(_xlfn.IFNA(IF($BA144="No",0,IF(INDEX(Constants!H:H,MATCH(($I144/12),Constants!$A:$A,0))=0,0,INDEX(Constants!H:H,MATCH(($I144/12),Constants!$A:$A,0)))),0),"")</f>
        <v/>
      </c>
      <c r="AX144" s="146" t="str">
        <f>IFERROR(_xlfn.IFNA(IF($BA144="No",0,IF(INDEX(Constants!I:I,MATCH(($I144/12),Constants!$A:$A,0))=0,0,INDEX(Constants!I:I,MATCH(($I144/12),Constants!$A:$A,0)))),0),"")</f>
        <v/>
      </c>
      <c r="AY144" s="146" t="str">
        <f>IFERROR(_xlfn.IFNA(IF($BA144="No",0,IF(INDEX(Constants!J:J,MATCH(($I144/12),Constants!$A:$A,0))=0,0,INDEX(Constants!J:J,MATCH(($I144/12),Constants!$A:$A,0)))),0),"")</f>
        <v/>
      </c>
      <c r="AZ144" s="146" t="str">
        <f>IFERROR(_xlfn.IFNA(IF($BA144="No",0,IF(INDEX(Constants!K:K,MATCH(($I144/12),Constants!$A:$A,0))=0,0,INDEX(Constants!K:K,MATCH(($I144/12),Constants!$A:$A,0)))),0),"")</f>
        <v/>
      </c>
      <c r="BA144" s="147" t="str">
        <f>_xlfn.IFNA(INDEX(Producer!$L:$L,MATCH($D144,Producer!$A:$A,0)),"")</f>
        <v/>
      </c>
      <c r="BB144" s="146" t="str">
        <f>IFERROR(IF(AQ144=0,"",IF(($I144/12)=15,_xlfn.CONCAT(Constants!$N$7,TEXT(DATE(YEAR(H144)-(($I144/12)-3),MONTH(H144),DAY(H144)),"dd/mm/yyyy"),", ",Constants!$P$7,TEXT(DATE(YEAR(H144)-(($I144/12)-8),MONTH(H144),DAY(H144)),"dd/mm/yyyy"),", ",Constants!$T$7,TEXT(DATE(YEAR(H144)-(($I144/12)-11),MONTH(H144),DAY(H144)),"dd/mm/yyyy"),", ",Constants!$V$7,TEXT(DATE(YEAR(H144)-(($I144/12)-13),MONTH(H144),DAY(H144)),"dd/mm/yyyy"),", ",Constants!$W$7,TEXT($H144,"dd/mm/yyyy")),IF(($I144/12)=10,_xlfn.CONCAT(Constants!$N$6,TEXT(DATE(YEAR(H144)-(($I144/12)-2),MONTH(H144),DAY(H144)),"dd/mm/yyyy"),", ",Constants!$P$6,TEXT(DATE(YEAR(H144)-(($I144/12)-6),MONTH(H144),DAY(H144)),"dd/mm/yyyy"),", ",Constants!$T$6,TEXT(DATE(YEAR(H144)-(($I144/12)-8),MONTH(H144),DAY(H144)),"dd/mm/yyyy"),", ",Constants!$V$6,TEXT(DATE(YEAR(H144)-(($I144/12)-9),MONTH(H144),DAY(H144)),"dd/mm/yyyy"),", ",Constants!$W$6,TEXT($H144,"dd/mm/yyyy")),IF(($I144/12)=5,_xlfn.CONCAT(Constants!$N$5,TEXT(DATE(YEAR(H144)-(($I144/12)-1),MONTH(H144),DAY(H144)),"dd/mm/yyyy"),", ",Constants!$O$5,TEXT(DATE(YEAR(H144)-(($I144/12)-2),MONTH(H144),DAY(H144)),"dd/mm/yyyy"),", ",Constants!$P$5,TEXT(DATE(YEAR(H144)-(($I144/12)-3),MONTH(H144),DAY(H144)),"dd/mm/yyyy"),", ",Constants!$Q$5,TEXT(DATE(YEAR(H144)-(($I144/12)-4),MONTH(H144),DAY(H144)),"dd/mm/yyyy"),", ",Constants!$R$5,TEXT($H144,"dd/mm/yyyy")),IF(($I144/12)=3,_xlfn.CONCAT(Constants!$N$4,TEXT(DATE(YEAR(H144)-(($I144/12)-1),MONTH(H144),DAY(H144)),"dd/mm/yyyy"),", ",Constants!$O$4,TEXT(DATE(YEAR(H144)-(($I144/12)-2),MONTH(H144),DAY(H144)),"dd/mm/yyyy"),", ",Constants!$P$4,TEXT($H144,"dd/mm/yyyy")),IF(($I144/12)=2,_xlfn.CONCAT(Constants!$N$3,TEXT(DATE(YEAR(H144)-(($I144/12)-1),MONTH(H144),DAY(H144)),"dd/mm/yyyy"),", ",Constants!$O$3,TEXT($H144,"dd/mm/yyyy")),IF(($I144/12)=1,_xlfn.CONCAT(Constants!$N$2,TEXT($H144,"dd/mm/yyyy")),"Update Constants"))))))),"")</f>
        <v/>
      </c>
      <c r="BC144" s="147" t="str">
        <f>_xlfn.IFNA(VALUE(INDEX(Producer!$K:$K,MATCH($D144,Producer!$A:$A,0))),"")</f>
        <v/>
      </c>
      <c r="BD144" s="147" t="str">
        <f>_xlfn.IFNA(INDEX(Producer!$I:$I,MATCH($D144,Producer!$A:$A,0)),"")</f>
        <v/>
      </c>
      <c r="BE144" s="147" t="str">
        <f t="shared" si="64"/>
        <v/>
      </c>
      <c r="BF144" s="147"/>
      <c r="BG144" s="147"/>
      <c r="BH144" s="151" t="str">
        <f>_xlfn.IFNA(INDEX(Constants!$B:$B,MATCH(BC144,Constants!A:A,0)),"")</f>
        <v/>
      </c>
      <c r="BI144" s="147" t="str">
        <f>IF(LEFT(B144,15)="Limited Company",Constants!$D$16,IFERROR(_xlfn.IFNA(IF(C144="Residential",IF(BK144&lt;75,INDEX(Constants!$B:$B,MATCH(VALUE(60)/100,Constants!$A:$A,0)),INDEX(Constants!$B:$B,MATCH(VALUE(BK144)/100,Constants!$A:$A,0))),IF(BK144&lt;60,INDEX(Constants!$C:$C,MATCH(VALUE(60)/100,Constants!$A:$A,0)),INDEX(Constants!$C:$C,MATCH(VALUE(BK144)/100,Constants!$A:$A,0)))),""),""))</f>
        <v/>
      </c>
      <c r="BJ144" s="147" t="str">
        <f t="shared" si="65"/>
        <v/>
      </c>
      <c r="BK144" s="147" t="str">
        <f>_xlfn.IFNA(VALUE(INDEX(Producer!$E:$E,MATCH($D144,Producer!$A:$A,0)))*100,"")</f>
        <v/>
      </c>
      <c r="BL144" s="146" t="str">
        <f>_xlfn.IFNA(IF(IFERROR(FIND("Part &amp; Part",B144),-10)&gt;0,"PP",IF(OR(LEFT(B144,25)="Residential Interest Only",INDEX(Producer!$P:$P,MATCH($D144,Producer!$A:$A,0))="IO",INDEX(Producer!$P:$P,MATCH($D144,Producer!$A:$A,0))="Retirement Interest Only"),"IO",IF($C144="BuyToLet","CI, IO","CI"))),"")</f>
        <v/>
      </c>
      <c r="BM144" s="152" t="str">
        <f>_xlfn.IFNA(IF(BL144="IO",100%,IF(AND(INDEX(Producer!$P:$P,MATCH($D144,Producer!$A:$A,0))="Residential Interest Only Part &amp; Part",BK144=75),80%,IF(C144="BuyToLet",100%,IF(BL144="Interest Only",100%,IF(AND(INDEX(Producer!$P:$P,MATCH($D144,Producer!$A:$A,0))="Residential Interest Only Part &amp; Part",BK144=60),100%,""))))),"")</f>
        <v/>
      </c>
      <c r="BN144" s="218" t="str">
        <f>_xlfn.IFNA(IF(VALUE(INDEX(Producer!$H:$H,MATCH($D144,Producer!$A:$A,0)))=0,"",VALUE(INDEX(Producer!$H:$H,MATCH($D144,Producer!$A:$A,0)))),"")</f>
        <v/>
      </c>
      <c r="BO144" s="153"/>
      <c r="BP144" s="153"/>
      <c r="BQ144" s="219" t="str">
        <f t="shared" si="66"/>
        <v/>
      </c>
      <c r="BR144" s="146"/>
      <c r="BS144" s="146"/>
      <c r="BT144" s="146"/>
      <c r="BU144" s="146"/>
      <c r="BV144" s="219" t="str">
        <f t="shared" si="67"/>
        <v/>
      </c>
      <c r="BW144" s="146"/>
      <c r="BX144" s="146"/>
      <c r="BY144" s="146" t="str">
        <f t="shared" si="68"/>
        <v/>
      </c>
      <c r="BZ144" s="146" t="str">
        <f t="shared" si="69"/>
        <v/>
      </c>
      <c r="CA144" s="146" t="str">
        <f t="shared" si="70"/>
        <v/>
      </c>
      <c r="CB144" s="146" t="str">
        <f t="shared" si="71"/>
        <v/>
      </c>
      <c r="CC144" s="146" t="str">
        <f>_xlfn.IFNA(IF(INDEX(Producer!$P:$P,MATCH($D144,Producer!$A:$A,0))="Help to Buy","Only available","No"),"")</f>
        <v/>
      </c>
      <c r="CD144" s="146" t="str">
        <f>_xlfn.IFNA(IF(INDEX(Producer!$P:$P,MATCH($D144,Producer!$A:$A,0))="Shared Ownership","Only available","No"),"")</f>
        <v/>
      </c>
      <c r="CE144" s="146" t="str">
        <f>_xlfn.IFNA(IF(INDEX(Producer!$P:$P,MATCH($D144,Producer!$A:$A,0))="Right to Buy","Only available","No"),"")</f>
        <v/>
      </c>
      <c r="CF144" s="146" t="str">
        <f t="shared" si="72"/>
        <v/>
      </c>
      <c r="CG144" s="146" t="str">
        <f>_xlfn.IFNA(IF(INDEX(Producer!$P:$P,MATCH($D144,Producer!$A:$A,0))="Retirement Interest Only","Only available","No"),"")</f>
        <v/>
      </c>
      <c r="CH144" s="146" t="str">
        <f t="shared" si="73"/>
        <v/>
      </c>
      <c r="CI144" s="146" t="str">
        <f>_xlfn.IFNA(IF(INDEX(Producer!$P:$P,MATCH($D144,Producer!$A:$A,0))="Intermediary Holiday Let","Only available","No"),"")</f>
        <v/>
      </c>
      <c r="CJ144" s="146" t="str">
        <f t="shared" si="74"/>
        <v/>
      </c>
      <c r="CK144" s="146" t="str">
        <f>_xlfn.IFNA(IF(OR(INDEX(Producer!$P:$P,MATCH($D144,Producer!$A:$A,0))="Intermediary Small HMO",INDEX(Producer!$P:$P,MATCH($D144,Producer!$A:$A,0))="Intermediary Large HMO"),"Only available","No"),"")</f>
        <v/>
      </c>
      <c r="CL144" s="146" t="str">
        <f t="shared" si="75"/>
        <v/>
      </c>
      <c r="CM144" s="146" t="str">
        <f t="shared" si="76"/>
        <v/>
      </c>
      <c r="CN144" s="146" t="str">
        <f t="shared" si="77"/>
        <v/>
      </c>
      <c r="CO144" s="146" t="str">
        <f t="shared" si="78"/>
        <v/>
      </c>
      <c r="CP144" s="146" t="str">
        <f t="shared" si="79"/>
        <v/>
      </c>
      <c r="CQ144" s="146" t="str">
        <f t="shared" si="80"/>
        <v/>
      </c>
      <c r="CR144" s="146" t="str">
        <f t="shared" si="81"/>
        <v/>
      </c>
      <c r="CS144" s="146" t="str">
        <f t="shared" si="82"/>
        <v/>
      </c>
      <c r="CT144" s="146" t="str">
        <f t="shared" si="83"/>
        <v/>
      </c>
      <c r="CU144" s="146"/>
    </row>
    <row r="145" spans="1:99" ht="16.399999999999999" customHeight="1" x14ac:dyDescent="0.35">
      <c r="A145" s="145" t="str">
        <f t="shared" si="56"/>
        <v/>
      </c>
      <c r="B145" s="145" t="str">
        <f>_xlfn.IFNA(_xlfn.CONCAT(INDEX(Producer!$P:$P,MATCH($D145,Producer!$A:$A,0))," ",IF(INDEX(Producer!$N:$N,MATCH($D145,Producer!$A:$A,0))="Yes","Green ",""),IF(AND(INDEX(Producer!$L:$L,MATCH($D145,Producer!$A:$A,0))="No",INDEX(Producer!$C:$C,MATCH($D145,Producer!$A:$A,0))="Fixed"),"Flexit ",""),INDEX(Producer!$B:$B,MATCH($D145,Producer!$A:$A,0))," Year ",INDEX(Producer!$C:$C,MATCH($D145,Producer!$A:$A,0))," ",VALUE(INDEX(Producer!$E:$E,MATCH($D145,Producer!$A:$A,0)))*100,"% LTV",IF(INDEX(Producer!$N:$N,MATCH($D145,Producer!$A:$A,0))="Yes"," (EPC A-C)","")," - ",IF(INDEX(Producer!$D:$D,MATCH($D145,Producer!$A:$A,0))="DLY","Daily","Annual")),"")</f>
        <v/>
      </c>
      <c r="C145" s="146" t="str">
        <f>_xlfn.IFNA(INDEX(Producer!$Q:$Q,MATCH($D145,Producer!$A:$A,0)),"")</f>
        <v/>
      </c>
      <c r="D145" s="146" t="str">
        <f>IFERROR(VALUE(MID(Producer!$R$2,IF($D144="",1/0,FIND(_xlfn.CONCAT($D143,$D144),Producer!$R$2)+10),5)),"")</f>
        <v/>
      </c>
      <c r="E145" s="146" t="str">
        <f t="shared" si="57"/>
        <v/>
      </c>
      <c r="F145" s="146"/>
      <c r="G145" s="147" t="str">
        <f>_xlfn.IFNA(VALUE(INDEX(Producer!$F:$F,MATCH($D145,Producer!$A:$A,0)))*100,"")</f>
        <v/>
      </c>
      <c r="H145" s="216" t="str">
        <f>_xlfn.IFNA(IFERROR(DATEVALUE(INDEX(Producer!$M:$M,MATCH($D145,Producer!$A:$A,0))),(INDEX(Producer!$M:$M,MATCH($D145,Producer!$A:$A,0)))),"")</f>
        <v/>
      </c>
      <c r="I145" s="217" t="str">
        <f>_xlfn.IFNA(VALUE(INDEX(Producer!$B:$B,MATCH($D145,Producer!$A:$A,0)))*12,"")</f>
        <v/>
      </c>
      <c r="J145" s="146" t="str">
        <f>_xlfn.IFNA(IF(C145="Residential",IF(VALUE(INDEX(Producer!$B:$B,MATCH($D145,Producer!$A:$A,0)))&lt;5,Constants!$C$10,""),IF(VALUE(INDEX(Producer!$B:$B,MATCH($D145,Producer!$A:$A,0)))&lt;5,Constants!$C$11,"")),"")</f>
        <v/>
      </c>
      <c r="K145" s="216" t="str">
        <f>_xlfn.IFNA(IF(($I145)&lt;60,DATE(YEAR(H145)+(5-VALUE(INDEX(Producer!$B:$B,MATCH($D145,Producer!$A:$A,0)))),MONTH(H145),DAY(H145)),""),"")</f>
        <v/>
      </c>
      <c r="L145" s="153" t="str">
        <f t="shared" si="58"/>
        <v/>
      </c>
      <c r="M145" s="146"/>
      <c r="N145" s="148"/>
      <c r="O145" s="148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 t="str">
        <f>IF(D145="","",IF(C145="Residential",Constants!$B$10,Constants!$B$11))</f>
        <v/>
      </c>
      <c r="AL145" s="146" t="str">
        <f t="shared" si="59"/>
        <v/>
      </c>
      <c r="AM145" s="206" t="str">
        <f t="shared" si="60"/>
        <v/>
      </c>
      <c r="AN145" s="146" t="str">
        <f t="shared" si="61"/>
        <v/>
      </c>
      <c r="AO145" s="149" t="str">
        <f t="shared" si="62"/>
        <v/>
      </c>
      <c r="AP145" s="150" t="str">
        <f t="shared" si="63"/>
        <v/>
      </c>
      <c r="AQ145" s="146" t="str">
        <f>IFERROR(_xlfn.IFNA(IF($BA145="No",0,IF(INDEX(Constants!B:B,MATCH(($I145/12),Constants!$A:$A,0))=0,0,INDEX(Constants!B:B,MATCH(($I145/12),Constants!$A:$A,0)))),0),"")</f>
        <v/>
      </c>
      <c r="AR145" s="146" t="str">
        <f>IFERROR(_xlfn.IFNA(IF($BA145="No",0,IF(INDEX(Constants!C:C,MATCH(($I145/12),Constants!$A:$A,0))=0,0,INDEX(Constants!C:C,MATCH(($I145/12),Constants!$A:$A,0)))),0),"")</f>
        <v/>
      </c>
      <c r="AS145" s="146" t="str">
        <f>IFERROR(_xlfn.IFNA(IF($BA145="No",0,IF(INDEX(Constants!D:D,MATCH(($I145/12),Constants!$A:$A,0))=0,0,INDEX(Constants!D:D,MATCH(($I145/12),Constants!$A:$A,0)))),0),"")</f>
        <v/>
      </c>
      <c r="AT145" s="146" t="str">
        <f>IFERROR(_xlfn.IFNA(IF($BA145="No",0,IF(INDEX(Constants!E:E,MATCH(($I145/12),Constants!$A:$A,0))=0,0,INDEX(Constants!E:E,MATCH(($I145/12),Constants!$A:$A,0)))),0),"")</f>
        <v/>
      </c>
      <c r="AU145" s="146" t="str">
        <f>IFERROR(_xlfn.IFNA(IF($BA145="No",0,IF(INDEX(Constants!F:F,MATCH(($I145/12),Constants!$A:$A,0))=0,0,INDEX(Constants!F:F,MATCH(($I145/12),Constants!$A:$A,0)))),0),"")</f>
        <v/>
      </c>
      <c r="AV145" s="146" t="str">
        <f>IFERROR(_xlfn.IFNA(IF($BA145="No",0,IF(INDEX(Constants!G:G,MATCH(($I145/12),Constants!$A:$A,0))=0,0,INDEX(Constants!G:G,MATCH(($I145/12),Constants!$A:$A,0)))),0),"")</f>
        <v/>
      </c>
      <c r="AW145" s="146" t="str">
        <f>IFERROR(_xlfn.IFNA(IF($BA145="No",0,IF(INDEX(Constants!H:H,MATCH(($I145/12),Constants!$A:$A,0))=0,0,INDEX(Constants!H:H,MATCH(($I145/12),Constants!$A:$A,0)))),0),"")</f>
        <v/>
      </c>
      <c r="AX145" s="146" t="str">
        <f>IFERROR(_xlfn.IFNA(IF($BA145="No",0,IF(INDEX(Constants!I:I,MATCH(($I145/12),Constants!$A:$A,0))=0,0,INDEX(Constants!I:I,MATCH(($I145/12),Constants!$A:$A,0)))),0),"")</f>
        <v/>
      </c>
      <c r="AY145" s="146" t="str">
        <f>IFERROR(_xlfn.IFNA(IF($BA145="No",0,IF(INDEX(Constants!J:J,MATCH(($I145/12),Constants!$A:$A,0))=0,0,INDEX(Constants!J:J,MATCH(($I145/12),Constants!$A:$A,0)))),0),"")</f>
        <v/>
      </c>
      <c r="AZ145" s="146" t="str">
        <f>IFERROR(_xlfn.IFNA(IF($BA145="No",0,IF(INDEX(Constants!K:K,MATCH(($I145/12),Constants!$A:$A,0))=0,0,INDEX(Constants!K:K,MATCH(($I145/12),Constants!$A:$A,0)))),0),"")</f>
        <v/>
      </c>
      <c r="BA145" s="147" t="str">
        <f>_xlfn.IFNA(INDEX(Producer!$L:$L,MATCH($D145,Producer!$A:$A,0)),"")</f>
        <v/>
      </c>
      <c r="BB145" s="146" t="str">
        <f>IFERROR(IF(AQ145=0,"",IF(($I145/12)=15,_xlfn.CONCAT(Constants!$N$7,TEXT(DATE(YEAR(H145)-(($I145/12)-3),MONTH(H145),DAY(H145)),"dd/mm/yyyy"),", ",Constants!$P$7,TEXT(DATE(YEAR(H145)-(($I145/12)-8),MONTH(H145),DAY(H145)),"dd/mm/yyyy"),", ",Constants!$T$7,TEXT(DATE(YEAR(H145)-(($I145/12)-11),MONTH(H145),DAY(H145)),"dd/mm/yyyy"),", ",Constants!$V$7,TEXT(DATE(YEAR(H145)-(($I145/12)-13),MONTH(H145),DAY(H145)),"dd/mm/yyyy"),", ",Constants!$W$7,TEXT($H145,"dd/mm/yyyy")),IF(($I145/12)=10,_xlfn.CONCAT(Constants!$N$6,TEXT(DATE(YEAR(H145)-(($I145/12)-2),MONTH(H145),DAY(H145)),"dd/mm/yyyy"),", ",Constants!$P$6,TEXT(DATE(YEAR(H145)-(($I145/12)-6),MONTH(H145),DAY(H145)),"dd/mm/yyyy"),", ",Constants!$T$6,TEXT(DATE(YEAR(H145)-(($I145/12)-8),MONTH(H145),DAY(H145)),"dd/mm/yyyy"),", ",Constants!$V$6,TEXT(DATE(YEAR(H145)-(($I145/12)-9),MONTH(H145),DAY(H145)),"dd/mm/yyyy"),", ",Constants!$W$6,TEXT($H145,"dd/mm/yyyy")),IF(($I145/12)=5,_xlfn.CONCAT(Constants!$N$5,TEXT(DATE(YEAR(H145)-(($I145/12)-1),MONTH(H145),DAY(H145)),"dd/mm/yyyy"),", ",Constants!$O$5,TEXT(DATE(YEAR(H145)-(($I145/12)-2),MONTH(H145),DAY(H145)),"dd/mm/yyyy"),", ",Constants!$P$5,TEXT(DATE(YEAR(H145)-(($I145/12)-3),MONTH(H145),DAY(H145)),"dd/mm/yyyy"),", ",Constants!$Q$5,TEXT(DATE(YEAR(H145)-(($I145/12)-4),MONTH(H145),DAY(H145)),"dd/mm/yyyy"),", ",Constants!$R$5,TEXT($H145,"dd/mm/yyyy")),IF(($I145/12)=3,_xlfn.CONCAT(Constants!$N$4,TEXT(DATE(YEAR(H145)-(($I145/12)-1),MONTH(H145),DAY(H145)),"dd/mm/yyyy"),", ",Constants!$O$4,TEXT(DATE(YEAR(H145)-(($I145/12)-2),MONTH(H145),DAY(H145)),"dd/mm/yyyy"),", ",Constants!$P$4,TEXT($H145,"dd/mm/yyyy")),IF(($I145/12)=2,_xlfn.CONCAT(Constants!$N$3,TEXT(DATE(YEAR(H145)-(($I145/12)-1),MONTH(H145),DAY(H145)),"dd/mm/yyyy"),", ",Constants!$O$3,TEXT($H145,"dd/mm/yyyy")),IF(($I145/12)=1,_xlfn.CONCAT(Constants!$N$2,TEXT($H145,"dd/mm/yyyy")),"Update Constants"))))))),"")</f>
        <v/>
      </c>
      <c r="BC145" s="147" t="str">
        <f>_xlfn.IFNA(VALUE(INDEX(Producer!$K:$K,MATCH($D145,Producer!$A:$A,0))),"")</f>
        <v/>
      </c>
      <c r="BD145" s="147" t="str">
        <f>_xlfn.IFNA(INDEX(Producer!$I:$I,MATCH($D145,Producer!$A:$A,0)),"")</f>
        <v/>
      </c>
      <c r="BE145" s="147" t="str">
        <f t="shared" si="64"/>
        <v/>
      </c>
      <c r="BF145" s="147"/>
      <c r="BG145" s="147"/>
      <c r="BH145" s="151" t="str">
        <f>_xlfn.IFNA(INDEX(Constants!$B:$B,MATCH(BC145,Constants!A:A,0)),"")</f>
        <v/>
      </c>
      <c r="BI145" s="147" t="str">
        <f>IF(LEFT(B145,15)="Limited Company",Constants!$D$16,IFERROR(_xlfn.IFNA(IF(C145="Residential",IF(BK145&lt;75,INDEX(Constants!$B:$B,MATCH(VALUE(60)/100,Constants!$A:$A,0)),INDEX(Constants!$B:$B,MATCH(VALUE(BK145)/100,Constants!$A:$A,0))),IF(BK145&lt;60,INDEX(Constants!$C:$C,MATCH(VALUE(60)/100,Constants!$A:$A,0)),INDEX(Constants!$C:$C,MATCH(VALUE(BK145)/100,Constants!$A:$A,0)))),""),""))</f>
        <v/>
      </c>
      <c r="BJ145" s="147" t="str">
        <f t="shared" si="65"/>
        <v/>
      </c>
      <c r="BK145" s="147" t="str">
        <f>_xlfn.IFNA(VALUE(INDEX(Producer!$E:$E,MATCH($D145,Producer!$A:$A,0)))*100,"")</f>
        <v/>
      </c>
      <c r="BL145" s="146" t="str">
        <f>_xlfn.IFNA(IF(IFERROR(FIND("Part &amp; Part",B145),-10)&gt;0,"PP",IF(OR(LEFT(B145,25)="Residential Interest Only",INDEX(Producer!$P:$P,MATCH($D145,Producer!$A:$A,0))="IO",INDEX(Producer!$P:$P,MATCH($D145,Producer!$A:$A,0))="Retirement Interest Only"),"IO",IF($C145="BuyToLet","CI, IO","CI"))),"")</f>
        <v/>
      </c>
      <c r="BM145" s="152" t="str">
        <f>_xlfn.IFNA(IF(BL145="IO",100%,IF(AND(INDEX(Producer!$P:$P,MATCH($D145,Producer!$A:$A,0))="Residential Interest Only Part &amp; Part",BK145=75),80%,IF(C145="BuyToLet",100%,IF(BL145="Interest Only",100%,IF(AND(INDEX(Producer!$P:$P,MATCH($D145,Producer!$A:$A,0))="Residential Interest Only Part &amp; Part",BK145=60),100%,""))))),"")</f>
        <v/>
      </c>
      <c r="BN145" s="218" t="str">
        <f>_xlfn.IFNA(IF(VALUE(INDEX(Producer!$H:$H,MATCH($D145,Producer!$A:$A,0)))=0,"",VALUE(INDEX(Producer!$H:$H,MATCH($D145,Producer!$A:$A,0)))),"")</f>
        <v/>
      </c>
      <c r="BO145" s="153"/>
      <c r="BP145" s="153"/>
      <c r="BQ145" s="219" t="str">
        <f t="shared" si="66"/>
        <v/>
      </c>
      <c r="BR145" s="146"/>
      <c r="BS145" s="146"/>
      <c r="BT145" s="146"/>
      <c r="BU145" s="146"/>
      <c r="BV145" s="219" t="str">
        <f t="shared" si="67"/>
        <v/>
      </c>
      <c r="BW145" s="146"/>
      <c r="BX145" s="146"/>
      <c r="BY145" s="146" t="str">
        <f t="shared" si="68"/>
        <v/>
      </c>
      <c r="BZ145" s="146" t="str">
        <f t="shared" si="69"/>
        <v/>
      </c>
      <c r="CA145" s="146" t="str">
        <f t="shared" si="70"/>
        <v/>
      </c>
      <c r="CB145" s="146" t="str">
        <f t="shared" si="71"/>
        <v/>
      </c>
      <c r="CC145" s="146" t="str">
        <f>_xlfn.IFNA(IF(INDEX(Producer!$P:$P,MATCH($D145,Producer!$A:$A,0))="Help to Buy","Only available","No"),"")</f>
        <v/>
      </c>
      <c r="CD145" s="146" t="str">
        <f>_xlfn.IFNA(IF(INDEX(Producer!$P:$P,MATCH($D145,Producer!$A:$A,0))="Shared Ownership","Only available","No"),"")</f>
        <v/>
      </c>
      <c r="CE145" s="146" t="str">
        <f>_xlfn.IFNA(IF(INDEX(Producer!$P:$P,MATCH($D145,Producer!$A:$A,0))="Right to Buy","Only available","No"),"")</f>
        <v/>
      </c>
      <c r="CF145" s="146" t="str">
        <f t="shared" si="72"/>
        <v/>
      </c>
      <c r="CG145" s="146" t="str">
        <f>_xlfn.IFNA(IF(INDEX(Producer!$P:$P,MATCH($D145,Producer!$A:$A,0))="Retirement Interest Only","Only available","No"),"")</f>
        <v/>
      </c>
      <c r="CH145" s="146" t="str">
        <f t="shared" si="73"/>
        <v/>
      </c>
      <c r="CI145" s="146" t="str">
        <f>_xlfn.IFNA(IF(INDEX(Producer!$P:$P,MATCH($D145,Producer!$A:$A,0))="Intermediary Holiday Let","Only available","No"),"")</f>
        <v/>
      </c>
      <c r="CJ145" s="146" t="str">
        <f t="shared" si="74"/>
        <v/>
      </c>
      <c r="CK145" s="146" t="str">
        <f>_xlfn.IFNA(IF(OR(INDEX(Producer!$P:$P,MATCH($D145,Producer!$A:$A,0))="Intermediary Small HMO",INDEX(Producer!$P:$P,MATCH($D145,Producer!$A:$A,0))="Intermediary Large HMO"),"Only available","No"),"")</f>
        <v/>
      </c>
      <c r="CL145" s="146" t="str">
        <f t="shared" si="75"/>
        <v/>
      </c>
      <c r="CM145" s="146" t="str">
        <f t="shared" si="76"/>
        <v/>
      </c>
      <c r="CN145" s="146" t="str">
        <f t="shared" si="77"/>
        <v/>
      </c>
      <c r="CO145" s="146" t="str">
        <f t="shared" si="78"/>
        <v/>
      </c>
      <c r="CP145" s="146" t="str">
        <f t="shared" si="79"/>
        <v/>
      </c>
      <c r="CQ145" s="146" t="str">
        <f t="shared" si="80"/>
        <v/>
      </c>
      <c r="CR145" s="146" t="str">
        <f t="shared" si="81"/>
        <v/>
      </c>
      <c r="CS145" s="146" t="str">
        <f t="shared" si="82"/>
        <v/>
      </c>
      <c r="CT145" s="146" t="str">
        <f t="shared" si="83"/>
        <v/>
      </c>
      <c r="CU145" s="146"/>
    </row>
    <row r="146" spans="1:99" ht="16.399999999999999" customHeight="1" x14ac:dyDescent="0.35">
      <c r="A146" s="145" t="str">
        <f t="shared" si="56"/>
        <v/>
      </c>
      <c r="B146" s="145" t="str">
        <f>_xlfn.IFNA(_xlfn.CONCAT(INDEX(Producer!$P:$P,MATCH($D146,Producer!$A:$A,0))," ",IF(INDEX(Producer!$N:$N,MATCH($D146,Producer!$A:$A,0))="Yes","Green ",""),IF(AND(INDEX(Producer!$L:$L,MATCH($D146,Producer!$A:$A,0))="No",INDEX(Producer!$C:$C,MATCH($D146,Producer!$A:$A,0))="Fixed"),"Flexit ",""),INDEX(Producer!$B:$B,MATCH($D146,Producer!$A:$A,0))," Year ",INDEX(Producer!$C:$C,MATCH($D146,Producer!$A:$A,0))," ",VALUE(INDEX(Producer!$E:$E,MATCH($D146,Producer!$A:$A,0)))*100,"% LTV",IF(INDEX(Producer!$N:$N,MATCH($D146,Producer!$A:$A,0))="Yes"," (EPC A-C)","")," - ",IF(INDEX(Producer!$D:$D,MATCH($D146,Producer!$A:$A,0))="DLY","Daily","Annual")),"")</f>
        <v/>
      </c>
      <c r="C146" s="146" t="str">
        <f>_xlfn.IFNA(INDEX(Producer!$Q:$Q,MATCH($D146,Producer!$A:$A,0)),"")</f>
        <v/>
      </c>
      <c r="D146" s="146" t="str">
        <f>IFERROR(VALUE(MID(Producer!$R$2,IF($D145="",1/0,FIND(_xlfn.CONCAT($D144,$D145),Producer!$R$2)+10),5)),"")</f>
        <v/>
      </c>
      <c r="E146" s="146" t="str">
        <f t="shared" si="57"/>
        <v/>
      </c>
      <c r="F146" s="146"/>
      <c r="G146" s="147" t="str">
        <f>_xlfn.IFNA(VALUE(INDEX(Producer!$F:$F,MATCH($D146,Producer!$A:$A,0)))*100,"")</f>
        <v/>
      </c>
      <c r="H146" s="216" t="str">
        <f>_xlfn.IFNA(IFERROR(DATEVALUE(INDEX(Producer!$M:$M,MATCH($D146,Producer!$A:$A,0))),(INDEX(Producer!$M:$M,MATCH($D146,Producer!$A:$A,0)))),"")</f>
        <v/>
      </c>
      <c r="I146" s="217" t="str">
        <f>_xlfn.IFNA(VALUE(INDEX(Producer!$B:$B,MATCH($D146,Producer!$A:$A,0)))*12,"")</f>
        <v/>
      </c>
      <c r="J146" s="146" t="str">
        <f>_xlfn.IFNA(IF(C146="Residential",IF(VALUE(INDEX(Producer!$B:$B,MATCH($D146,Producer!$A:$A,0)))&lt;5,Constants!$C$10,""),IF(VALUE(INDEX(Producer!$B:$B,MATCH($D146,Producer!$A:$A,0)))&lt;5,Constants!$C$11,"")),"")</f>
        <v/>
      </c>
      <c r="K146" s="216" t="str">
        <f>_xlfn.IFNA(IF(($I146)&lt;60,DATE(YEAR(H146)+(5-VALUE(INDEX(Producer!$B:$B,MATCH($D146,Producer!$A:$A,0)))),MONTH(H146),DAY(H146)),""),"")</f>
        <v/>
      </c>
      <c r="L146" s="153" t="str">
        <f t="shared" si="58"/>
        <v/>
      </c>
      <c r="M146" s="146"/>
      <c r="N146" s="148"/>
      <c r="O146" s="148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 t="str">
        <f>IF(D146="","",IF(C146="Residential",Constants!$B$10,Constants!$B$11))</f>
        <v/>
      </c>
      <c r="AL146" s="146" t="str">
        <f t="shared" si="59"/>
        <v/>
      </c>
      <c r="AM146" s="206" t="str">
        <f t="shared" si="60"/>
        <v/>
      </c>
      <c r="AN146" s="146" t="str">
        <f t="shared" si="61"/>
        <v/>
      </c>
      <c r="AO146" s="149" t="str">
        <f t="shared" si="62"/>
        <v/>
      </c>
      <c r="AP146" s="150" t="str">
        <f t="shared" si="63"/>
        <v/>
      </c>
      <c r="AQ146" s="146" t="str">
        <f>IFERROR(_xlfn.IFNA(IF($BA146="No",0,IF(INDEX(Constants!B:B,MATCH(($I146/12),Constants!$A:$A,0))=0,0,INDEX(Constants!B:B,MATCH(($I146/12),Constants!$A:$A,0)))),0),"")</f>
        <v/>
      </c>
      <c r="AR146" s="146" t="str">
        <f>IFERROR(_xlfn.IFNA(IF($BA146="No",0,IF(INDEX(Constants!C:C,MATCH(($I146/12),Constants!$A:$A,0))=0,0,INDEX(Constants!C:C,MATCH(($I146/12),Constants!$A:$A,0)))),0),"")</f>
        <v/>
      </c>
      <c r="AS146" s="146" t="str">
        <f>IFERROR(_xlfn.IFNA(IF($BA146="No",0,IF(INDEX(Constants!D:D,MATCH(($I146/12),Constants!$A:$A,0))=0,0,INDEX(Constants!D:D,MATCH(($I146/12),Constants!$A:$A,0)))),0),"")</f>
        <v/>
      </c>
      <c r="AT146" s="146" t="str">
        <f>IFERROR(_xlfn.IFNA(IF($BA146="No",0,IF(INDEX(Constants!E:E,MATCH(($I146/12),Constants!$A:$A,0))=0,0,INDEX(Constants!E:E,MATCH(($I146/12),Constants!$A:$A,0)))),0),"")</f>
        <v/>
      </c>
      <c r="AU146" s="146" t="str">
        <f>IFERROR(_xlfn.IFNA(IF($BA146="No",0,IF(INDEX(Constants!F:F,MATCH(($I146/12),Constants!$A:$A,0))=0,0,INDEX(Constants!F:F,MATCH(($I146/12),Constants!$A:$A,0)))),0),"")</f>
        <v/>
      </c>
      <c r="AV146" s="146" t="str">
        <f>IFERROR(_xlfn.IFNA(IF($BA146="No",0,IF(INDEX(Constants!G:G,MATCH(($I146/12),Constants!$A:$A,0))=0,0,INDEX(Constants!G:G,MATCH(($I146/12),Constants!$A:$A,0)))),0),"")</f>
        <v/>
      </c>
      <c r="AW146" s="146" t="str">
        <f>IFERROR(_xlfn.IFNA(IF($BA146="No",0,IF(INDEX(Constants!H:H,MATCH(($I146/12),Constants!$A:$A,0))=0,0,INDEX(Constants!H:H,MATCH(($I146/12),Constants!$A:$A,0)))),0),"")</f>
        <v/>
      </c>
      <c r="AX146" s="146" t="str">
        <f>IFERROR(_xlfn.IFNA(IF($BA146="No",0,IF(INDEX(Constants!I:I,MATCH(($I146/12),Constants!$A:$A,0))=0,0,INDEX(Constants!I:I,MATCH(($I146/12),Constants!$A:$A,0)))),0),"")</f>
        <v/>
      </c>
      <c r="AY146" s="146" t="str">
        <f>IFERROR(_xlfn.IFNA(IF($BA146="No",0,IF(INDEX(Constants!J:J,MATCH(($I146/12),Constants!$A:$A,0))=0,0,INDEX(Constants!J:J,MATCH(($I146/12),Constants!$A:$A,0)))),0),"")</f>
        <v/>
      </c>
      <c r="AZ146" s="146" t="str">
        <f>IFERROR(_xlfn.IFNA(IF($BA146="No",0,IF(INDEX(Constants!K:K,MATCH(($I146/12),Constants!$A:$A,0))=0,0,INDEX(Constants!K:K,MATCH(($I146/12),Constants!$A:$A,0)))),0),"")</f>
        <v/>
      </c>
      <c r="BA146" s="147" t="str">
        <f>_xlfn.IFNA(INDEX(Producer!$L:$L,MATCH($D146,Producer!$A:$A,0)),"")</f>
        <v/>
      </c>
      <c r="BB146" s="146" t="str">
        <f>IFERROR(IF(AQ146=0,"",IF(($I146/12)=15,_xlfn.CONCAT(Constants!$N$7,TEXT(DATE(YEAR(H146)-(($I146/12)-3),MONTH(H146),DAY(H146)),"dd/mm/yyyy"),", ",Constants!$P$7,TEXT(DATE(YEAR(H146)-(($I146/12)-8),MONTH(H146),DAY(H146)),"dd/mm/yyyy"),", ",Constants!$T$7,TEXT(DATE(YEAR(H146)-(($I146/12)-11),MONTH(H146),DAY(H146)),"dd/mm/yyyy"),", ",Constants!$V$7,TEXT(DATE(YEAR(H146)-(($I146/12)-13),MONTH(H146),DAY(H146)),"dd/mm/yyyy"),", ",Constants!$W$7,TEXT($H146,"dd/mm/yyyy")),IF(($I146/12)=10,_xlfn.CONCAT(Constants!$N$6,TEXT(DATE(YEAR(H146)-(($I146/12)-2),MONTH(H146),DAY(H146)),"dd/mm/yyyy"),", ",Constants!$P$6,TEXT(DATE(YEAR(H146)-(($I146/12)-6),MONTH(H146),DAY(H146)),"dd/mm/yyyy"),", ",Constants!$T$6,TEXT(DATE(YEAR(H146)-(($I146/12)-8),MONTH(H146),DAY(H146)),"dd/mm/yyyy"),", ",Constants!$V$6,TEXT(DATE(YEAR(H146)-(($I146/12)-9),MONTH(H146),DAY(H146)),"dd/mm/yyyy"),", ",Constants!$W$6,TEXT($H146,"dd/mm/yyyy")),IF(($I146/12)=5,_xlfn.CONCAT(Constants!$N$5,TEXT(DATE(YEAR(H146)-(($I146/12)-1),MONTH(H146),DAY(H146)),"dd/mm/yyyy"),", ",Constants!$O$5,TEXT(DATE(YEAR(H146)-(($I146/12)-2),MONTH(H146),DAY(H146)),"dd/mm/yyyy"),", ",Constants!$P$5,TEXT(DATE(YEAR(H146)-(($I146/12)-3),MONTH(H146),DAY(H146)),"dd/mm/yyyy"),", ",Constants!$Q$5,TEXT(DATE(YEAR(H146)-(($I146/12)-4),MONTH(H146),DAY(H146)),"dd/mm/yyyy"),", ",Constants!$R$5,TEXT($H146,"dd/mm/yyyy")),IF(($I146/12)=3,_xlfn.CONCAT(Constants!$N$4,TEXT(DATE(YEAR(H146)-(($I146/12)-1),MONTH(H146),DAY(H146)),"dd/mm/yyyy"),", ",Constants!$O$4,TEXT(DATE(YEAR(H146)-(($I146/12)-2),MONTH(H146),DAY(H146)),"dd/mm/yyyy"),", ",Constants!$P$4,TEXT($H146,"dd/mm/yyyy")),IF(($I146/12)=2,_xlfn.CONCAT(Constants!$N$3,TEXT(DATE(YEAR(H146)-(($I146/12)-1),MONTH(H146),DAY(H146)),"dd/mm/yyyy"),", ",Constants!$O$3,TEXT($H146,"dd/mm/yyyy")),IF(($I146/12)=1,_xlfn.CONCAT(Constants!$N$2,TEXT($H146,"dd/mm/yyyy")),"Update Constants"))))))),"")</f>
        <v/>
      </c>
      <c r="BC146" s="147" t="str">
        <f>_xlfn.IFNA(VALUE(INDEX(Producer!$K:$K,MATCH($D146,Producer!$A:$A,0))),"")</f>
        <v/>
      </c>
      <c r="BD146" s="147" t="str">
        <f>_xlfn.IFNA(INDEX(Producer!$I:$I,MATCH($D146,Producer!$A:$A,0)),"")</f>
        <v/>
      </c>
      <c r="BE146" s="147" t="str">
        <f t="shared" si="64"/>
        <v/>
      </c>
      <c r="BF146" s="147"/>
      <c r="BG146" s="147"/>
      <c r="BH146" s="151" t="str">
        <f>_xlfn.IFNA(INDEX(Constants!$B:$B,MATCH(BC146,Constants!A:A,0)),"")</f>
        <v/>
      </c>
      <c r="BI146" s="147" t="str">
        <f>IF(LEFT(B146,15)="Limited Company",Constants!$D$16,IFERROR(_xlfn.IFNA(IF(C146="Residential",IF(BK146&lt;75,INDEX(Constants!$B:$B,MATCH(VALUE(60)/100,Constants!$A:$A,0)),INDEX(Constants!$B:$B,MATCH(VALUE(BK146)/100,Constants!$A:$A,0))),IF(BK146&lt;60,INDEX(Constants!$C:$C,MATCH(VALUE(60)/100,Constants!$A:$A,0)),INDEX(Constants!$C:$C,MATCH(VALUE(BK146)/100,Constants!$A:$A,0)))),""),""))</f>
        <v/>
      </c>
      <c r="BJ146" s="147" t="str">
        <f t="shared" si="65"/>
        <v/>
      </c>
      <c r="BK146" s="147" t="str">
        <f>_xlfn.IFNA(VALUE(INDEX(Producer!$E:$E,MATCH($D146,Producer!$A:$A,0)))*100,"")</f>
        <v/>
      </c>
      <c r="BL146" s="146" t="str">
        <f>_xlfn.IFNA(IF(IFERROR(FIND("Part &amp; Part",B146),-10)&gt;0,"PP",IF(OR(LEFT(B146,25)="Residential Interest Only",INDEX(Producer!$P:$P,MATCH($D146,Producer!$A:$A,0))="IO",INDEX(Producer!$P:$P,MATCH($D146,Producer!$A:$A,0))="Retirement Interest Only"),"IO",IF($C146="BuyToLet","CI, IO","CI"))),"")</f>
        <v/>
      </c>
      <c r="BM146" s="152" t="str">
        <f>_xlfn.IFNA(IF(BL146="IO",100%,IF(AND(INDEX(Producer!$P:$P,MATCH($D146,Producer!$A:$A,0))="Residential Interest Only Part &amp; Part",BK146=75),80%,IF(C146="BuyToLet",100%,IF(BL146="Interest Only",100%,IF(AND(INDEX(Producer!$P:$P,MATCH($D146,Producer!$A:$A,0))="Residential Interest Only Part &amp; Part",BK146=60),100%,""))))),"")</f>
        <v/>
      </c>
      <c r="BN146" s="218" t="str">
        <f>_xlfn.IFNA(IF(VALUE(INDEX(Producer!$H:$H,MATCH($D146,Producer!$A:$A,0)))=0,"",VALUE(INDEX(Producer!$H:$H,MATCH($D146,Producer!$A:$A,0)))),"")</f>
        <v/>
      </c>
      <c r="BO146" s="153"/>
      <c r="BP146" s="153"/>
      <c r="BQ146" s="219" t="str">
        <f t="shared" si="66"/>
        <v/>
      </c>
      <c r="BR146" s="146"/>
      <c r="BS146" s="146"/>
      <c r="BT146" s="146"/>
      <c r="BU146" s="146"/>
      <c r="BV146" s="219" t="str">
        <f t="shared" si="67"/>
        <v/>
      </c>
      <c r="BW146" s="146"/>
      <c r="BX146" s="146"/>
      <c r="BY146" s="146" t="str">
        <f t="shared" si="68"/>
        <v/>
      </c>
      <c r="BZ146" s="146" t="str">
        <f t="shared" si="69"/>
        <v/>
      </c>
      <c r="CA146" s="146" t="str">
        <f t="shared" si="70"/>
        <v/>
      </c>
      <c r="CB146" s="146" t="str">
        <f t="shared" si="71"/>
        <v/>
      </c>
      <c r="CC146" s="146" t="str">
        <f>_xlfn.IFNA(IF(INDEX(Producer!$P:$P,MATCH($D146,Producer!$A:$A,0))="Help to Buy","Only available","No"),"")</f>
        <v/>
      </c>
      <c r="CD146" s="146" t="str">
        <f>_xlfn.IFNA(IF(INDEX(Producer!$P:$P,MATCH($D146,Producer!$A:$A,0))="Shared Ownership","Only available","No"),"")</f>
        <v/>
      </c>
      <c r="CE146" s="146" t="str">
        <f>_xlfn.IFNA(IF(INDEX(Producer!$P:$P,MATCH($D146,Producer!$A:$A,0))="Right to Buy","Only available","No"),"")</f>
        <v/>
      </c>
      <c r="CF146" s="146" t="str">
        <f t="shared" si="72"/>
        <v/>
      </c>
      <c r="CG146" s="146" t="str">
        <f>_xlfn.IFNA(IF(INDEX(Producer!$P:$P,MATCH($D146,Producer!$A:$A,0))="Retirement Interest Only","Only available","No"),"")</f>
        <v/>
      </c>
      <c r="CH146" s="146" t="str">
        <f t="shared" si="73"/>
        <v/>
      </c>
      <c r="CI146" s="146" t="str">
        <f>_xlfn.IFNA(IF(INDEX(Producer!$P:$P,MATCH($D146,Producer!$A:$A,0))="Intermediary Holiday Let","Only available","No"),"")</f>
        <v/>
      </c>
      <c r="CJ146" s="146" t="str">
        <f t="shared" si="74"/>
        <v/>
      </c>
      <c r="CK146" s="146" t="str">
        <f>_xlfn.IFNA(IF(OR(INDEX(Producer!$P:$P,MATCH($D146,Producer!$A:$A,0))="Intermediary Small HMO",INDEX(Producer!$P:$P,MATCH($D146,Producer!$A:$A,0))="Intermediary Large HMO"),"Only available","No"),"")</f>
        <v/>
      </c>
      <c r="CL146" s="146" t="str">
        <f t="shared" si="75"/>
        <v/>
      </c>
      <c r="CM146" s="146" t="str">
        <f t="shared" si="76"/>
        <v/>
      </c>
      <c r="CN146" s="146" t="str">
        <f t="shared" si="77"/>
        <v/>
      </c>
      <c r="CO146" s="146" t="str">
        <f t="shared" si="78"/>
        <v/>
      </c>
      <c r="CP146" s="146" t="str">
        <f t="shared" si="79"/>
        <v/>
      </c>
      <c r="CQ146" s="146" t="str">
        <f t="shared" si="80"/>
        <v/>
      </c>
      <c r="CR146" s="146" t="str">
        <f t="shared" si="81"/>
        <v/>
      </c>
      <c r="CS146" s="146" t="str">
        <f t="shared" si="82"/>
        <v/>
      </c>
      <c r="CT146" s="146" t="str">
        <f t="shared" si="83"/>
        <v/>
      </c>
      <c r="CU146" s="146"/>
    </row>
    <row r="147" spans="1:99" ht="16.399999999999999" customHeight="1" x14ac:dyDescent="0.35">
      <c r="A147" s="145" t="str">
        <f t="shared" si="56"/>
        <v/>
      </c>
      <c r="B147" s="145" t="str">
        <f>_xlfn.IFNA(_xlfn.CONCAT(INDEX(Producer!$P:$P,MATCH($D147,Producer!$A:$A,0))," ",IF(INDEX(Producer!$N:$N,MATCH($D147,Producer!$A:$A,0))="Yes","Green ",""),IF(AND(INDEX(Producer!$L:$L,MATCH($D147,Producer!$A:$A,0))="No",INDEX(Producer!$C:$C,MATCH($D147,Producer!$A:$A,0))="Fixed"),"Flexit ",""),INDEX(Producer!$B:$B,MATCH($D147,Producer!$A:$A,0))," Year ",INDEX(Producer!$C:$C,MATCH($D147,Producer!$A:$A,0))," ",VALUE(INDEX(Producer!$E:$E,MATCH($D147,Producer!$A:$A,0)))*100,"% LTV",IF(INDEX(Producer!$N:$N,MATCH($D147,Producer!$A:$A,0))="Yes"," (EPC A-C)","")," - ",IF(INDEX(Producer!$D:$D,MATCH($D147,Producer!$A:$A,0))="DLY","Daily","Annual")),"")</f>
        <v/>
      </c>
      <c r="C147" s="146" t="str">
        <f>_xlfn.IFNA(INDEX(Producer!$Q:$Q,MATCH($D147,Producer!$A:$A,0)),"")</f>
        <v/>
      </c>
      <c r="D147" s="146" t="str">
        <f>IFERROR(VALUE(MID(Producer!$R$2,IF($D146="",1/0,FIND(_xlfn.CONCAT($D145,$D146),Producer!$R$2)+10),5)),"")</f>
        <v/>
      </c>
      <c r="E147" s="146" t="str">
        <f t="shared" si="57"/>
        <v/>
      </c>
      <c r="F147" s="146"/>
      <c r="G147" s="147" t="str">
        <f>_xlfn.IFNA(VALUE(INDEX(Producer!$F:$F,MATCH($D147,Producer!$A:$A,0)))*100,"")</f>
        <v/>
      </c>
      <c r="H147" s="216" t="str">
        <f>_xlfn.IFNA(IFERROR(DATEVALUE(INDEX(Producer!$M:$M,MATCH($D147,Producer!$A:$A,0))),(INDEX(Producer!$M:$M,MATCH($D147,Producer!$A:$A,0)))),"")</f>
        <v/>
      </c>
      <c r="I147" s="217" t="str">
        <f>_xlfn.IFNA(VALUE(INDEX(Producer!$B:$B,MATCH($D147,Producer!$A:$A,0)))*12,"")</f>
        <v/>
      </c>
      <c r="J147" s="146" t="str">
        <f>_xlfn.IFNA(IF(C147="Residential",IF(VALUE(INDEX(Producer!$B:$B,MATCH($D147,Producer!$A:$A,0)))&lt;5,Constants!$C$10,""),IF(VALUE(INDEX(Producer!$B:$B,MATCH($D147,Producer!$A:$A,0)))&lt;5,Constants!$C$11,"")),"")</f>
        <v/>
      </c>
      <c r="K147" s="216" t="str">
        <f>_xlfn.IFNA(IF(($I147)&lt;60,DATE(YEAR(H147)+(5-VALUE(INDEX(Producer!$B:$B,MATCH($D147,Producer!$A:$A,0)))),MONTH(H147),DAY(H147)),""),"")</f>
        <v/>
      </c>
      <c r="L147" s="153" t="str">
        <f t="shared" si="58"/>
        <v/>
      </c>
      <c r="M147" s="146"/>
      <c r="N147" s="148"/>
      <c r="O147" s="148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 t="str">
        <f>IF(D147="","",IF(C147="Residential",Constants!$B$10,Constants!$B$11))</f>
        <v/>
      </c>
      <c r="AL147" s="146" t="str">
        <f t="shared" si="59"/>
        <v/>
      </c>
      <c r="AM147" s="206" t="str">
        <f t="shared" si="60"/>
        <v/>
      </c>
      <c r="AN147" s="146" t="str">
        <f t="shared" si="61"/>
        <v/>
      </c>
      <c r="AO147" s="149" t="str">
        <f t="shared" si="62"/>
        <v/>
      </c>
      <c r="AP147" s="150" t="str">
        <f t="shared" si="63"/>
        <v/>
      </c>
      <c r="AQ147" s="146" t="str">
        <f>IFERROR(_xlfn.IFNA(IF($BA147="No",0,IF(INDEX(Constants!B:B,MATCH(($I147/12),Constants!$A:$A,0))=0,0,INDEX(Constants!B:B,MATCH(($I147/12),Constants!$A:$A,0)))),0),"")</f>
        <v/>
      </c>
      <c r="AR147" s="146" t="str">
        <f>IFERROR(_xlfn.IFNA(IF($BA147="No",0,IF(INDEX(Constants!C:C,MATCH(($I147/12),Constants!$A:$A,0))=0,0,INDEX(Constants!C:C,MATCH(($I147/12),Constants!$A:$A,0)))),0),"")</f>
        <v/>
      </c>
      <c r="AS147" s="146" t="str">
        <f>IFERROR(_xlfn.IFNA(IF($BA147="No",0,IF(INDEX(Constants!D:D,MATCH(($I147/12),Constants!$A:$A,0))=0,0,INDEX(Constants!D:D,MATCH(($I147/12),Constants!$A:$A,0)))),0),"")</f>
        <v/>
      </c>
      <c r="AT147" s="146" t="str">
        <f>IFERROR(_xlfn.IFNA(IF($BA147="No",0,IF(INDEX(Constants!E:E,MATCH(($I147/12),Constants!$A:$A,0))=0,0,INDEX(Constants!E:E,MATCH(($I147/12),Constants!$A:$A,0)))),0),"")</f>
        <v/>
      </c>
      <c r="AU147" s="146" t="str">
        <f>IFERROR(_xlfn.IFNA(IF($BA147="No",0,IF(INDEX(Constants!F:F,MATCH(($I147/12),Constants!$A:$A,0))=0,0,INDEX(Constants!F:F,MATCH(($I147/12),Constants!$A:$A,0)))),0),"")</f>
        <v/>
      </c>
      <c r="AV147" s="146" t="str">
        <f>IFERROR(_xlfn.IFNA(IF($BA147="No",0,IF(INDEX(Constants!G:G,MATCH(($I147/12),Constants!$A:$A,0))=0,0,INDEX(Constants!G:G,MATCH(($I147/12),Constants!$A:$A,0)))),0),"")</f>
        <v/>
      </c>
      <c r="AW147" s="146" t="str">
        <f>IFERROR(_xlfn.IFNA(IF($BA147="No",0,IF(INDEX(Constants!H:H,MATCH(($I147/12),Constants!$A:$A,0))=0,0,INDEX(Constants!H:H,MATCH(($I147/12),Constants!$A:$A,0)))),0),"")</f>
        <v/>
      </c>
      <c r="AX147" s="146" t="str">
        <f>IFERROR(_xlfn.IFNA(IF($BA147="No",0,IF(INDEX(Constants!I:I,MATCH(($I147/12),Constants!$A:$A,0))=0,0,INDEX(Constants!I:I,MATCH(($I147/12),Constants!$A:$A,0)))),0),"")</f>
        <v/>
      </c>
      <c r="AY147" s="146" t="str">
        <f>IFERROR(_xlfn.IFNA(IF($BA147="No",0,IF(INDEX(Constants!J:J,MATCH(($I147/12),Constants!$A:$A,0))=0,0,INDEX(Constants!J:J,MATCH(($I147/12),Constants!$A:$A,0)))),0),"")</f>
        <v/>
      </c>
      <c r="AZ147" s="146" t="str">
        <f>IFERROR(_xlfn.IFNA(IF($BA147="No",0,IF(INDEX(Constants!K:K,MATCH(($I147/12),Constants!$A:$A,0))=0,0,INDEX(Constants!K:K,MATCH(($I147/12),Constants!$A:$A,0)))),0),"")</f>
        <v/>
      </c>
      <c r="BA147" s="147" t="str">
        <f>_xlfn.IFNA(INDEX(Producer!$L:$L,MATCH($D147,Producer!$A:$A,0)),"")</f>
        <v/>
      </c>
      <c r="BB147" s="146" t="str">
        <f>IFERROR(IF(AQ147=0,"",IF(($I147/12)=15,_xlfn.CONCAT(Constants!$N$7,TEXT(DATE(YEAR(H147)-(($I147/12)-3),MONTH(H147),DAY(H147)),"dd/mm/yyyy"),", ",Constants!$P$7,TEXT(DATE(YEAR(H147)-(($I147/12)-8),MONTH(H147),DAY(H147)),"dd/mm/yyyy"),", ",Constants!$T$7,TEXT(DATE(YEAR(H147)-(($I147/12)-11),MONTH(H147),DAY(H147)),"dd/mm/yyyy"),", ",Constants!$V$7,TEXT(DATE(YEAR(H147)-(($I147/12)-13),MONTH(H147),DAY(H147)),"dd/mm/yyyy"),", ",Constants!$W$7,TEXT($H147,"dd/mm/yyyy")),IF(($I147/12)=10,_xlfn.CONCAT(Constants!$N$6,TEXT(DATE(YEAR(H147)-(($I147/12)-2),MONTH(H147),DAY(H147)),"dd/mm/yyyy"),", ",Constants!$P$6,TEXT(DATE(YEAR(H147)-(($I147/12)-6),MONTH(H147),DAY(H147)),"dd/mm/yyyy"),", ",Constants!$T$6,TEXT(DATE(YEAR(H147)-(($I147/12)-8),MONTH(H147),DAY(H147)),"dd/mm/yyyy"),", ",Constants!$V$6,TEXT(DATE(YEAR(H147)-(($I147/12)-9),MONTH(H147),DAY(H147)),"dd/mm/yyyy"),", ",Constants!$W$6,TEXT($H147,"dd/mm/yyyy")),IF(($I147/12)=5,_xlfn.CONCAT(Constants!$N$5,TEXT(DATE(YEAR(H147)-(($I147/12)-1),MONTH(H147),DAY(H147)),"dd/mm/yyyy"),", ",Constants!$O$5,TEXT(DATE(YEAR(H147)-(($I147/12)-2),MONTH(H147),DAY(H147)),"dd/mm/yyyy"),", ",Constants!$P$5,TEXT(DATE(YEAR(H147)-(($I147/12)-3),MONTH(H147),DAY(H147)),"dd/mm/yyyy"),", ",Constants!$Q$5,TEXT(DATE(YEAR(H147)-(($I147/12)-4),MONTH(H147),DAY(H147)),"dd/mm/yyyy"),", ",Constants!$R$5,TEXT($H147,"dd/mm/yyyy")),IF(($I147/12)=3,_xlfn.CONCAT(Constants!$N$4,TEXT(DATE(YEAR(H147)-(($I147/12)-1),MONTH(H147),DAY(H147)),"dd/mm/yyyy"),", ",Constants!$O$4,TEXT(DATE(YEAR(H147)-(($I147/12)-2),MONTH(H147),DAY(H147)),"dd/mm/yyyy"),", ",Constants!$P$4,TEXT($H147,"dd/mm/yyyy")),IF(($I147/12)=2,_xlfn.CONCAT(Constants!$N$3,TEXT(DATE(YEAR(H147)-(($I147/12)-1),MONTH(H147),DAY(H147)),"dd/mm/yyyy"),", ",Constants!$O$3,TEXT($H147,"dd/mm/yyyy")),IF(($I147/12)=1,_xlfn.CONCAT(Constants!$N$2,TEXT($H147,"dd/mm/yyyy")),"Update Constants"))))))),"")</f>
        <v/>
      </c>
      <c r="BC147" s="147" t="str">
        <f>_xlfn.IFNA(VALUE(INDEX(Producer!$K:$K,MATCH($D147,Producer!$A:$A,0))),"")</f>
        <v/>
      </c>
      <c r="BD147" s="147" t="str">
        <f>_xlfn.IFNA(INDEX(Producer!$I:$I,MATCH($D147,Producer!$A:$A,0)),"")</f>
        <v/>
      </c>
      <c r="BE147" s="147" t="str">
        <f t="shared" si="64"/>
        <v/>
      </c>
      <c r="BF147" s="147"/>
      <c r="BG147" s="147"/>
      <c r="BH147" s="151" t="str">
        <f>_xlfn.IFNA(INDEX(Constants!$B:$B,MATCH(BC147,Constants!A:A,0)),"")</f>
        <v/>
      </c>
      <c r="BI147" s="147" t="str">
        <f>IF(LEFT(B147,15)="Limited Company",Constants!$D$16,IFERROR(_xlfn.IFNA(IF(C147="Residential",IF(BK147&lt;75,INDEX(Constants!$B:$B,MATCH(VALUE(60)/100,Constants!$A:$A,0)),INDEX(Constants!$B:$B,MATCH(VALUE(BK147)/100,Constants!$A:$A,0))),IF(BK147&lt;60,INDEX(Constants!$C:$C,MATCH(VALUE(60)/100,Constants!$A:$A,0)),INDEX(Constants!$C:$C,MATCH(VALUE(BK147)/100,Constants!$A:$A,0)))),""),""))</f>
        <v/>
      </c>
      <c r="BJ147" s="147" t="str">
        <f t="shared" si="65"/>
        <v/>
      </c>
      <c r="BK147" s="147" t="str">
        <f>_xlfn.IFNA(VALUE(INDEX(Producer!$E:$E,MATCH($D147,Producer!$A:$A,0)))*100,"")</f>
        <v/>
      </c>
      <c r="BL147" s="146" t="str">
        <f>_xlfn.IFNA(IF(IFERROR(FIND("Part &amp; Part",B147),-10)&gt;0,"PP",IF(OR(LEFT(B147,25)="Residential Interest Only",INDEX(Producer!$P:$P,MATCH($D147,Producer!$A:$A,0))="IO",INDEX(Producer!$P:$P,MATCH($D147,Producer!$A:$A,0))="Retirement Interest Only"),"IO",IF($C147="BuyToLet","CI, IO","CI"))),"")</f>
        <v/>
      </c>
      <c r="BM147" s="152" t="str">
        <f>_xlfn.IFNA(IF(BL147="IO",100%,IF(AND(INDEX(Producer!$P:$P,MATCH($D147,Producer!$A:$A,0))="Residential Interest Only Part &amp; Part",BK147=75),80%,IF(C147="BuyToLet",100%,IF(BL147="Interest Only",100%,IF(AND(INDEX(Producer!$P:$P,MATCH($D147,Producer!$A:$A,0))="Residential Interest Only Part &amp; Part",BK147=60),100%,""))))),"")</f>
        <v/>
      </c>
      <c r="BN147" s="218" t="str">
        <f>_xlfn.IFNA(IF(VALUE(INDEX(Producer!$H:$H,MATCH($D147,Producer!$A:$A,0)))=0,"",VALUE(INDEX(Producer!$H:$H,MATCH($D147,Producer!$A:$A,0)))),"")</f>
        <v/>
      </c>
      <c r="BO147" s="153"/>
      <c r="BP147" s="153"/>
      <c r="BQ147" s="219" t="str">
        <f t="shared" si="66"/>
        <v/>
      </c>
      <c r="BR147" s="146"/>
      <c r="BS147" s="146"/>
      <c r="BT147" s="146"/>
      <c r="BU147" s="146"/>
      <c r="BV147" s="219" t="str">
        <f t="shared" si="67"/>
        <v/>
      </c>
      <c r="BW147" s="146"/>
      <c r="BX147" s="146"/>
      <c r="BY147" s="146" t="str">
        <f t="shared" si="68"/>
        <v/>
      </c>
      <c r="BZ147" s="146" t="str">
        <f t="shared" si="69"/>
        <v/>
      </c>
      <c r="CA147" s="146" t="str">
        <f t="shared" si="70"/>
        <v/>
      </c>
      <c r="CB147" s="146" t="str">
        <f t="shared" si="71"/>
        <v/>
      </c>
      <c r="CC147" s="146" t="str">
        <f>_xlfn.IFNA(IF(INDEX(Producer!$P:$P,MATCH($D147,Producer!$A:$A,0))="Help to Buy","Only available","No"),"")</f>
        <v/>
      </c>
      <c r="CD147" s="146" t="str">
        <f>_xlfn.IFNA(IF(INDEX(Producer!$P:$P,MATCH($D147,Producer!$A:$A,0))="Shared Ownership","Only available","No"),"")</f>
        <v/>
      </c>
      <c r="CE147" s="146" t="str">
        <f>_xlfn.IFNA(IF(INDEX(Producer!$P:$P,MATCH($D147,Producer!$A:$A,0))="Right to Buy","Only available","No"),"")</f>
        <v/>
      </c>
      <c r="CF147" s="146" t="str">
        <f t="shared" si="72"/>
        <v/>
      </c>
      <c r="CG147" s="146" t="str">
        <f>_xlfn.IFNA(IF(INDEX(Producer!$P:$P,MATCH($D147,Producer!$A:$A,0))="Retirement Interest Only","Only available","No"),"")</f>
        <v/>
      </c>
      <c r="CH147" s="146" t="str">
        <f t="shared" si="73"/>
        <v/>
      </c>
      <c r="CI147" s="146" t="str">
        <f>_xlfn.IFNA(IF(INDEX(Producer!$P:$P,MATCH($D147,Producer!$A:$A,0))="Intermediary Holiday Let","Only available","No"),"")</f>
        <v/>
      </c>
      <c r="CJ147" s="146" t="str">
        <f t="shared" si="74"/>
        <v/>
      </c>
      <c r="CK147" s="146" t="str">
        <f>_xlfn.IFNA(IF(OR(INDEX(Producer!$P:$P,MATCH($D147,Producer!$A:$A,0))="Intermediary Small HMO",INDEX(Producer!$P:$P,MATCH($D147,Producer!$A:$A,0))="Intermediary Large HMO"),"Only available","No"),"")</f>
        <v/>
      </c>
      <c r="CL147" s="146" t="str">
        <f t="shared" si="75"/>
        <v/>
      </c>
      <c r="CM147" s="146" t="str">
        <f t="shared" si="76"/>
        <v/>
      </c>
      <c r="CN147" s="146" t="str">
        <f t="shared" si="77"/>
        <v/>
      </c>
      <c r="CO147" s="146" t="str">
        <f t="shared" si="78"/>
        <v/>
      </c>
      <c r="CP147" s="146" t="str">
        <f t="shared" si="79"/>
        <v/>
      </c>
      <c r="CQ147" s="146" t="str">
        <f t="shared" si="80"/>
        <v/>
      </c>
      <c r="CR147" s="146" t="str">
        <f t="shared" si="81"/>
        <v/>
      </c>
      <c r="CS147" s="146" t="str">
        <f t="shared" si="82"/>
        <v/>
      </c>
      <c r="CT147" s="146" t="str">
        <f t="shared" si="83"/>
        <v/>
      </c>
      <c r="CU147" s="146"/>
    </row>
    <row r="148" spans="1:99" ht="16.399999999999999" customHeight="1" x14ac:dyDescent="0.35">
      <c r="A148" s="145" t="str">
        <f t="shared" si="56"/>
        <v/>
      </c>
      <c r="B148" s="145" t="str">
        <f>_xlfn.IFNA(_xlfn.CONCAT(INDEX(Producer!$P:$P,MATCH($D148,Producer!$A:$A,0))," ",IF(INDEX(Producer!$N:$N,MATCH($D148,Producer!$A:$A,0))="Yes","Green ",""),IF(AND(INDEX(Producer!$L:$L,MATCH($D148,Producer!$A:$A,0))="No",INDEX(Producer!$C:$C,MATCH($D148,Producer!$A:$A,0))="Fixed"),"Flexit ",""),INDEX(Producer!$B:$B,MATCH($D148,Producer!$A:$A,0))," Year ",INDEX(Producer!$C:$C,MATCH($D148,Producer!$A:$A,0))," ",VALUE(INDEX(Producer!$E:$E,MATCH($D148,Producer!$A:$A,0)))*100,"% LTV",IF(INDEX(Producer!$N:$N,MATCH($D148,Producer!$A:$A,0))="Yes"," (EPC A-C)","")," - ",IF(INDEX(Producer!$D:$D,MATCH($D148,Producer!$A:$A,0))="DLY","Daily","Annual")),"")</f>
        <v/>
      </c>
      <c r="C148" s="146" t="str">
        <f>_xlfn.IFNA(INDEX(Producer!$Q:$Q,MATCH($D148,Producer!$A:$A,0)),"")</f>
        <v/>
      </c>
      <c r="D148" s="146" t="str">
        <f>IFERROR(VALUE(MID(Producer!$R$2,IF($D147="",1/0,FIND(_xlfn.CONCAT($D146,$D147),Producer!$R$2)+10),5)),"")</f>
        <v/>
      </c>
      <c r="E148" s="146" t="str">
        <f t="shared" si="57"/>
        <v/>
      </c>
      <c r="F148" s="146"/>
      <c r="G148" s="147" t="str">
        <f>_xlfn.IFNA(VALUE(INDEX(Producer!$F:$F,MATCH($D148,Producer!$A:$A,0)))*100,"")</f>
        <v/>
      </c>
      <c r="H148" s="216" t="str">
        <f>_xlfn.IFNA(IFERROR(DATEVALUE(INDEX(Producer!$M:$M,MATCH($D148,Producer!$A:$A,0))),(INDEX(Producer!$M:$M,MATCH($D148,Producer!$A:$A,0)))),"")</f>
        <v/>
      </c>
      <c r="I148" s="217" t="str">
        <f>_xlfn.IFNA(VALUE(INDEX(Producer!$B:$B,MATCH($D148,Producer!$A:$A,0)))*12,"")</f>
        <v/>
      </c>
      <c r="J148" s="146" t="str">
        <f>_xlfn.IFNA(IF(C148="Residential",IF(VALUE(INDEX(Producer!$B:$B,MATCH($D148,Producer!$A:$A,0)))&lt;5,Constants!$C$10,""),IF(VALUE(INDEX(Producer!$B:$B,MATCH($D148,Producer!$A:$A,0)))&lt;5,Constants!$C$11,"")),"")</f>
        <v/>
      </c>
      <c r="K148" s="216" t="str">
        <f>_xlfn.IFNA(IF(($I148)&lt;60,DATE(YEAR(H148)+(5-VALUE(INDEX(Producer!$B:$B,MATCH($D148,Producer!$A:$A,0)))),MONTH(H148),DAY(H148)),""),"")</f>
        <v/>
      </c>
      <c r="L148" s="153" t="str">
        <f t="shared" si="58"/>
        <v/>
      </c>
      <c r="M148" s="146"/>
      <c r="N148" s="148"/>
      <c r="O148" s="148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6"/>
      <c r="AK148" s="146" t="str">
        <f>IF(D148="","",IF(C148="Residential",Constants!$B$10,Constants!$B$11))</f>
        <v/>
      </c>
      <c r="AL148" s="146" t="str">
        <f t="shared" si="59"/>
        <v/>
      </c>
      <c r="AM148" s="206" t="str">
        <f t="shared" si="60"/>
        <v/>
      </c>
      <c r="AN148" s="146" t="str">
        <f t="shared" si="61"/>
        <v/>
      </c>
      <c r="AO148" s="149" t="str">
        <f t="shared" si="62"/>
        <v/>
      </c>
      <c r="AP148" s="150" t="str">
        <f t="shared" si="63"/>
        <v/>
      </c>
      <c r="AQ148" s="146" t="str">
        <f>IFERROR(_xlfn.IFNA(IF($BA148="No",0,IF(INDEX(Constants!B:B,MATCH(($I148/12),Constants!$A:$A,0))=0,0,INDEX(Constants!B:B,MATCH(($I148/12),Constants!$A:$A,0)))),0),"")</f>
        <v/>
      </c>
      <c r="AR148" s="146" t="str">
        <f>IFERROR(_xlfn.IFNA(IF($BA148="No",0,IF(INDEX(Constants!C:C,MATCH(($I148/12),Constants!$A:$A,0))=0,0,INDEX(Constants!C:C,MATCH(($I148/12),Constants!$A:$A,0)))),0),"")</f>
        <v/>
      </c>
      <c r="AS148" s="146" t="str">
        <f>IFERROR(_xlfn.IFNA(IF($BA148="No",0,IF(INDEX(Constants!D:D,MATCH(($I148/12),Constants!$A:$A,0))=0,0,INDEX(Constants!D:D,MATCH(($I148/12),Constants!$A:$A,0)))),0),"")</f>
        <v/>
      </c>
      <c r="AT148" s="146" t="str">
        <f>IFERROR(_xlfn.IFNA(IF($BA148="No",0,IF(INDEX(Constants!E:E,MATCH(($I148/12),Constants!$A:$A,0))=0,0,INDEX(Constants!E:E,MATCH(($I148/12),Constants!$A:$A,0)))),0),"")</f>
        <v/>
      </c>
      <c r="AU148" s="146" t="str">
        <f>IFERROR(_xlfn.IFNA(IF($BA148="No",0,IF(INDEX(Constants!F:F,MATCH(($I148/12),Constants!$A:$A,0))=0,0,INDEX(Constants!F:F,MATCH(($I148/12),Constants!$A:$A,0)))),0),"")</f>
        <v/>
      </c>
      <c r="AV148" s="146" t="str">
        <f>IFERROR(_xlfn.IFNA(IF($BA148="No",0,IF(INDEX(Constants!G:G,MATCH(($I148/12),Constants!$A:$A,0))=0,0,INDEX(Constants!G:G,MATCH(($I148/12),Constants!$A:$A,0)))),0),"")</f>
        <v/>
      </c>
      <c r="AW148" s="146" t="str">
        <f>IFERROR(_xlfn.IFNA(IF($BA148="No",0,IF(INDEX(Constants!H:H,MATCH(($I148/12),Constants!$A:$A,0))=0,0,INDEX(Constants!H:H,MATCH(($I148/12),Constants!$A:$A,0)))),0),"")</f>
        <v/>
      </c>
      <c r="AX148" s="146" t="str">
        <f>IFERROR(_xlfn.IFNA(IF($BA148="No",0,IF(INDEX(Constants!I:I,MATCH(($I148/12),Constants!$A:$A,0))=0,0,INDEX(Constants!I:I,MATCH(($I148/12),Constants!$A:$A,0)))),0),"")</f>
        <v/>
      </c>
      <c r="AY148" s="146" t="str">
        <f>IFERROR(_xlfn.IFNA(IF($BA148="No",0,IF(INDEX(Constants!J:J,MATCH(($I148/12),Constants!$A:$A,0))=0,0,INDEX(Constants!J:J,MATCH(($I148/12),Constants!$A:$A,0)))),0),"")</f>
        <v/>
      </c>
      <c r="AZ148" s="146" t="str">
        <f>IFERROR(_xlfn.IFNA(IF($BA148="No",0,IF(INDEX(Constants!K:K,MATCH(($I148/12),Constants!$A:$A,0))=0,0,INDEX(Constants!K:K,MATCH(($I148/12),Constants!$A:$A,0)))),0),"")</f>
        <v/>
      </c>
      <c r="BA148" s="147" t="str">
        <f>_xlfn.IFNA(INDEX(Producer!$L:$L,MATCH($D148,Producer!$A:$A,0)),"")</f>
        <v/>
      </c>
      <c r="BB148" s="146" t="str">
        <f>IFERROR(IF(AQ148=0,"",IF(($I148/12)=15,_xlfn.CONCAT(Constants!$N$7,TEXT(DATE(YEAR(H148)-(($I148/12)-3),MONTH(H148),DAY(H148)),"dd/mm/yyyy"),", ",Constants!$P$7,TEXT(DATE(YEAR(H148)-(($I148/12)-8),MONTH(H148),DAY(H148)),"dd/mm/yyyy"),", ",Constants!$T$7,TEXT(DATE(YEAR(H148)-(($I148/12)-11),MONTH(H148),DAY(H148)),"dd/mm/yyyy"),", ",Constants!$V$7,TEXT(DATE(YEAR(H148)-(($I148/12)-13),MONTH(H148),DAY(H148)),"dd/mm/yyyy"),", ",Constants!$W$7,TEXT($H148,"dd/mm/yyyy")),IF(($I148/12)=10,_xlfn.CONCAT(Constants!$N$6,TEXT(DATE(YEAR(H148)-(($I148/12)-2),MONTH(H148),DAY(H148)),"dd/mm/yyyy"),", ",Constants!$P$6,TEXT(DATE(YEAR(H148)-(($I148/12)-6),MONTH(H148),DAY(H148)),"dd/mm/yyyy"),", ",Constants!$T$6,TEXT(DATE(YEAR(H148)-(($I148/12)-8),MONTH(H148),DAY(H148)),"dd/mm/yyyy"),", ",Constants!$V$6,TEXT(DATE(YEAR(H148)-(($I148/12)-9),MONTH(H148),DAY(H148)),"dd/mm/yyyy"),", ",Constants!$W$6,TEXT($H148,"dd/mm/yyyy")),IF(($I148/12)=5,_xlfn.CONCAT(Constants!$N$5,TEXT(DATE(YEAR(H148)-(($I148/12)-1),MONTH(H148),DAY(H148)),"dd/mm/yyyy"),", ",Constants!$O$5,TEXT(DATE(YEAR(H148)-(($I148/12)-2),MONTH(H148),DAY(H148)),"dd/mm/yyyy"),", ",Constants!$P$5,TEXT(DATE(YEAR(H148)-(($I148/12)-3),MONTH(H148),DAY(H148)),"dd/mm/yyyy"),", ",Constants!$Q$5,TEXT(DATE(YEAR(H148)-(($I148/12)-4),MONTH(H148),DAY(H148)),"dd/mm/yyyy"),", ",Constants!$R$5,TEXT($H148,"dd/mm/yyyy")),IF(($I148/12)=3,_xlfn.CONCAT(Constants!$N$4,TEXT(DATE(YEAR(H148)-(($I148/12)-1),MONTH(H148),DAY(H148)),"dd/mm/yyyy"),", ",Constants!$O$4,TEXT(DATE(YEAR(H148)-(($I148/12)-2),MONTH(H148),DAY(H148)),"dd/mm/yyyy"),", ",Constants!$P$4,TEXT($H148,"dd/mm/yyyy")),IF(($I148/12)=2,_xlfn.CONCAT(Constants!$N$3,TEXT(DATE(YEAR(H148)-(($I148/12)-1),MONTH(H148),DAY(H148)),"dd/mm/yyyy"),", ",Constants!$O$3,TEXT($H148,"dd/mm/yyyy")),IF(($I148/12)=1,_xlfn.CONCAT(Constants!$N$2,TEXT($H148,"dd/mm/yyyy")),"Update Constants"))))))),"")</f>
        <v/>
      </c>
      <c r="BC148" s="147" t="str">
        <f>_xlfn.IFNA(VALUE(INDEX(Producer!$K:$K,MATCH($D148,Producer!$A:$A,0))),"")</f>
        <v/>
      </c>
      <c r="BD148" s="147" t="str">
        <f>_xlfn.IFNA(INDEX(Producer!$I:$I,MATCH($D148,Producer!$A:$A,0)),"")</f>
        <v/>
      </c>
      <c r="BE148" s="147" t="str">
        <f t="shared" si="64"/>
        <v/>
      </c>
      <c r="BF148" s="147"/>
      <c r="BG148" s="147"/>
      <c r="BH148" s="151" t="str">
        <f>_xlfn.IFNA(INDEX(Constants!$B:$B,MATCH(BC148,Constants!A:A,0)),"")</f>
        <v/>
      </c>
      <c r="BI148" s="147" t="str">
        <f>IF(LEFT(B148,15)="Limited Company",Constants!$D$16,IFERROR(_xlfn.IFNA(IF(C148="Residential",IF(BK148&lt;75,INDEX(Constants!$B:$B,MATCH(VALUE(60)/100,Constants!$A:$A,0)),INDEX(Constants!$B:$B,MATCH(VALUE(BK148)/100,Constants!$A:$A,0))),IF(BK148&lt;60,INDEX(Constants!$C:$C,MATCH(VALUE(60)/100,Constants!$A:$A,0)),INDEX(Constants!$C:$C,MATCH(VALUE(BK148)/100,Constants!$A:$A,0)))),""),""))</f>
        <v/>
      </c>
      <c r="BJ148" s="147" t="str">
        <f t="shared" si="65"/>
        <v/>
      </c>
      <c r="BK148" s="147" t="str">
        <f>_xlfn.IFNA(VALUE(INDEX(Producer!$E:$E,MATCH($D148,Producer!$A:$A,0)))*100,"")</f>
        <v/>
      </c>
      <c r="BL148" s="146" t="str">
        <f>_xlfn.IFNA(IF(IFERROR(FIND("Part &amp; Part",B148),-10)&gt;0,"PP",IF(OR(LEFT(B148,25)="Residential Interest Only",INDEX(Producer!$P:$P,MATCH($D148,Producer!$A:$A,0))="IO",INDEX(Producer!$P:$P,MATCH($D148,Producer!$A:$A,0))="Retirement Interest Only"),"IO",IF($C148="BuyToLet","CI, IO","CI"))),"")</f>
        <v/>
      </c>
      <c r="BM148" s="152" t="str">
        <f>_xlfn.IFNA(IF(BL148="IO",100%,IF(AND(INDEX(Producer!$P:$P,MATCH($D148,Producer!$A:$A,0))="Residential Interest Only Part &amp; Part",BK148=75),80%,IF(C148="BuyToLet",100%,IF(BL148="Interest Only",100%,IF(AND(INDEX(Producer!$P:$P,MATCH($D148,Producer!$A:$A,0))="Residential Interest Only Part &amp; Part",BK148=60),100%,""))))),"")</f>
        <v/>
      </c>
      <c r="BN148" s="218" t="str">
        <f>_xlfn.IFNA(IF(VALUE(INDEX(Producer!$H:$H,MATCH($D148,Producer!$A:$A,0)))=0,"",VALUE(INDEX(Producer!$H:$H,MATCH($D148,Producer!$A:$A,0)))),"")</f>
        <v/>
      </c>
      <c r="BO148" s="153"/>
      <c r="BP148" s="153"/>
      <c r="BQ148" s="219" t="str">
        <f t="shared" si="66"/>
        <v/>
      </c>
      <c r="BR148" s="146"/>
      <c r="BS148" s="146"/>
      <c r="BT148" s="146"/>
      <c r="BU148" s="146"/>
      <c r="BV148" s="219" t="str">
        <f t="shared" si="67"/>
        <v/>
      </c>
      <c r="BW148" s="146"/>
      <c r="BX148" s="146"/>
      <c r="BY148" s="146" t="str">
        <f t="shared" si="68"/>
        <v/>
      </c>
      <c r="BZ148" s="146" t="str">
        <f t="shared" si="69"/>
        <v/>
      </c>
      <c r="CA148" s="146" t="str">
        <f t="shared" si="70"/>
        <v/>
      </c>
      <c r="CB148" s="146" t="str">
        <f t="shared" si="71"/>
        <v/>
      </c>
      <c r="CC148" s="146" t="str">
        <f>_xlfn.IFNA(IF(INDEX(Producer!$P:$P,MATCH($D148,Producer!$A:$A,0))="Help to Buy","Only available","No"),"")</f>
        <v/>
      </c>
      <c r="CD148" s="146" t="str">
        <f>_xlfn.IFNA(IF(INDEX(Producer!$P:$P,MATCH($D148,Producer!$A:$A,0))="Shared Ownership","Only available","No"),"")</f>
        <v/>
      </c>
      <c r="CE148" s="146" t="str">
        <f>_xlfn.IFNA(IF(INDEX(Producer!$P:$P,MATCH($D148,Producer!$A:$A,0))="Right to Buy","Only available","No"),"")</f>
        <v/>
      </c>
      <c r="CF148" s="146" t="str">
        <f t="shared" si="72"/>
        <v/>
      </c>
      <c r="CG148" s="146" t="str">
        <f>_xlfn.IFNA(IF(INDEX(Producer!$P:$P,MATCH($D148,Producer!$A:$A,0))="Retirement Interest Only","Only available","No"),"")</f>
        <v/>
      </c>
      <c r="CH148" s="146" t="str">
        <f t="shared" si="73"/>
        <v/>
      </c>
      <c r="CI148" s="146" t="str">
        <f>_xlfn.IFNA(IF(INDEX(Producer!$P:$P,MATCH($D148,Producer!$A:$A,0))="Intermediary Holiday Let","Only available","No"),"")</f>
        <v/>
      </c>
      <c r="CJ148" s="146" t="str">
        <f t="shared" si="74"/>
        <v/>
      </c>
      <c r="CK148" s="146" t="str">
        <f>_xlfn.IFNA(IF(OR(INDEX(Producer!$P:$P,MATCH($D148,Producer!$A:$A,0))="Intermediary Small HMO",INDEX(Producer!$P:$P,MATCH($D148,Producer!$A:$A,0))="Intermediary Large HMO"),"Only available","No"),"")</f>
        <v/>
      </c>
      <c r="CL148" s="146" t="str">
        <f t="shared" si="75"/>
        <v/>
      </c>
      <c r="CM148" s="146" t="str">
        <f t="shared" si="76"/>
        <v/>
      </c>
      <c r="CN148" s="146" t="str">
        <f t="shared" si="77"/>
        <v/>
      </c>
      <c r="CO148" s="146" t="str">
        <f t="shared" si="78"/>
        <v/>
      </c>
      <c r="CP148" s="146" t="str">
        <f t="shared" si="79"/>
        <v/>
      </c>
      <c r="CQ148" s="146" t="str">
        <f t="shared" si="80"/>
        <v/>
      </c>
      <c r="CR148" s="146" t="str">
        <f t="shared" si="81"/>
        <v/>
      </c>
      <c r="CS148" s="146" t="str">
        <f t="shared" si="82"/>
        <v/>
      </c>
      <c r="CT148" s="146" t="str">
        <f t="shared" si="83"/>
        <v/>
      </c>
      <c r="CU148" s="146"/>
    </row>
    <row r="149" spans="1:99" ht="16.399999999999999" customHeight="1" x14ac:dyDescent="0.35">
      <c r="A149" s="145" t="str">
        <f t="shared" si="56"/>
        <v/>
      </c>
      <c r="B149" s="145" t="str">
        <f>_xlfn.IFNA(_xlfn.CONCAT(INDEX(Producer!$P:$P,MATCH($D149,Producer!$A:$A,0))," ",IF(INDEX(Producer!$N:$N,MATCH($D149,Producer!$A:$A,0))="Yes","Green ",""),IF(AND(INDEX(Producer!$L:$L,MATCH($D149,Producer!$A:$A,0))="No",INDEX(Producer!$C:$C,MATCH($D149,Producer!$A:$A,0))="Fixed"),"Flexit ",""),INDEX(Producer!$B:$B,MATCH($D149,Producer!$A:$A,0))," Year ",INDEX(Producer!$C:$C,MATCH($D149,Producer!$A:$A,0))," ",VALUE(INDEX(Producer!$E:$E,MATCH($D149,Producer!$A:$A,0)))*100,"% LTV",IF(INDEX(Producer!$N:$N,MATCH($D149,Producer!$A:$A,0))="Yes"," (EPC A-C)","")," - ",IF(INDEX(Producer!$D:$D,MATCH($D149,Producer!$A:$A,0))="DLY","Daily","Annual")),"")</f>
        <v/>
      </c>
      <c r="C149" s="146" t="str">
        <f>_xlfn.IFNA(INDEX(Producer!$Q:$Q,MATCH($D149,Producer!$A:$A,0)),"")</f>
        <v/>
      </c>
      <c r="D149" s="146" t="str">
        <f>IFERROR(VALUE(MID(Producer!$R$2,IF($D148="",1/0,FIND(_xlfn.CONCAT($D147,$D148),Producer!$R$2)+10),5)),"")</f>
        <v/>
      </c>
      <c r="E149" s="146" t="str">
        <f t="shared" si="57"/>
        <v/>
      </c>
      <c r="F149" s="146"/>
      <c r="G149" s="147" t="str">
        <f>_xlfn.IFNA(VALUE(INDEX(Producer!$F:$F,MATCH($D149,Producer!$A:$A,0)))*100,"")</f>
        <v/>
      </c>
      <c r="H149" s="216" t="str">
        <f>_xlfn.IFNA(IFERROR(DATEVALUE(INDEX(Producer!$M:$M,MATCH($D149,Producer!$A:$A,0))),(INDEX(Producer!$M:$M,MATCH($D149,Producer!$A:$A,0)))),"")</f>
        <v/>
      </c>
      <c r="I149" s="217" t="str">
        <f>_xlfn.IFNA(VALUE(INDEX(Producer!$B:$B,MATCH($D149,Producer!$A:$A,0)))*12,"")</f>
        <v/>
      </c>
      <c r="J149" s="146" t="str">
        <f>_xlfn.IFNA(IF(C149="Residential",IF(VALUE(INDEX(Producer!$B:$B,MATCH($D149,Producer!$A:$A,0)))&lt;5,Constants!$C$10,""),IF(VALUE(INDEX(Producer!$B:$B,MATCH($D149,Producer!$A:$A,0)))&lt;5,Constants!$C$11,"")),"")</f>
        <v/>
      </c>
      <c r="K149" s="216" t="str">
        <f>_xlfn.IFNA(IF(($I149)&lt;60,DATE(YEAR(H149)+(5-VALUE(INDEX(Producer!$B:$B,MATCH($D149,Producer!$A:$A,0)))),MONTH(H149),DAY(H149)),""),"")</f>
        <v/>
      </c>
      <c r="L149" s="153" t="str">
        <f t="shared" si="58"/>
        <v/>
      </c>
      <c r="M149" s="146"/>
      <c r="N149" s="148"/>
      <c r="O149" s="148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  <c r="AK149" s="146" t="str">
        <f>IF(D149="","",IF(C149="Residential",Constants!$B$10,Constants!$B$11))</f>
        <v/>
      </c>
      <c r="AL149" s="146" t="str">
        <f t="shared" si="59"/>
        <v/>
      </c>
      <c r="AM149" s="206" t="str">
        <f t="shared" si="60"/>
        <v/>
      </c>
      <c r="AN149" s="146" t="str">
        <f t="shared" si="61"/>
        <v/>
      </c>
      <c r="AO149" s="149" t="str">
        <f t="shared" si="62"/>
        <v/>
      </c>
      <c r="AP149" s="150" t="str">
        <f t="shared" si="63"/>
        <v/>
      </c>
      <c r="AQ149" s="146" t="str">
        <f>IFERROR(_xlfn.IFNA(IF($BA149="No",0,IF(INDEX(Constants!B:B,MATCH(($I149/12),Constants!$A:$A,0))=0,0,INDEX(Constants!B:B,MATCH(($I149/12),Constants!$A:$A,0)))),0),"")</f>
        <v/>
      </c>
      <c r="AR149" s="146" t="str">
        <f>IFERROR(_xlfn.IFNA(IF($BA149="No",0,IF(INDEX(Constants!C:C,MATCH(($I149/12),Constants!$A:$A,0))=0,0,INDEX(Constants!C:C,MATCH(($I149/12),Constants!$A:$A,0)))),0),"")</f>
        <v/>
      </c>
      <c r="AS149" s="146" t="str">
        <f>IFERROR(_xlfn.IFNA(IF($BA149="No",0,IF(INDEX(Constants!D:D,MATCH(($I149/12),Constants!$A:$A,0))=0,0,INDEX(Constants!D:D,MATCH(($I149/12),Constants!$A:$A,0)))),0),"")</f>
        <v/>
      </c>
      <c r="AT149" s="146" t="str">
        <f>IFERROR(_xlfn.IFNA(IF($BA149="No",0,IF(INDEX(Constants!E:E,MATCH(($I149/12),Constants!$A:$A,0))=0,0,INDEX(Constants!E:E,MATCH(($I149/12),Constants!$A:$A,0)))),0),"")</f>
        <v/>
      </c>
      <c r="AU149" s="146" t="str">
        <f>IFERROR(_xlfn.IFNA(IF($BA149="No",0,IF(INDEX(Constants!F:F,MATCH(($I149/12),Constants!$A:$A,0))=0,0,INDEX(Constants!F:F,MATCH(($I149/12),Constants!$A:$A,0)))),0),"")</f>
        <v/>
      </c>
      <c r="AV149" s="146" t="str">
        <f>IFERROR(_xlfn.IFNA(IF($BA149="No",0,IF(INDEX(Constants!G:G,MATCH(($I149/12),Constants!$A:$A,0))=0,0,INDEX(Constants!G:G,MATCH(($I149/12),Constants!$A:$A,0)))),0),"")</f>
        <v/>
      </c>
      <c r="AW149" s="146" t="str">
        <f>IFERROR(_xlfn.IFNA(IF($BA149="No",0,IF(INDEX(Constants!H:H,MATCH(($I149/12),Constants!$A:$A,0))=0,0,INDEX(Constants!H:H,MATCH(($I149/12),Constants!$A:$A,0)))),0),"")</f>
        <v/>
      </c>
      <c r="AX149" s="146" t="str">
        <f>IFERROR(_xlfn.IFNA(IF($BA149="No",0,IF(INDEX(Constants!I:I,MATCH(($I149/12),Constants!$A:$A,0))=0,0,INDEX(Constants!I:I,MATCH(($I149/12),Constants!$A:$A,0)))),0),"")</f>
        <v/>
      </c>
      <c r="AY149" s="146" t="str">
        <f>IFERROR(_xlfn.IFNA(IF($BA149="No",0,IF(INDEX(Constants!J:J,MATCH(($I149/12),Constants!$A:$A,0))=0,0,INDEX(Constants!J:J,MATCH(($I149/12),Constants!$A:$A,0)))),0),"")</f>
        <v/>
      </c>
      <c r="AZ149" s="146" t="str">
        <f>IFERROR(_xlfn.IFNA(IF($BA149="No",0,IF(INDEX(Constants!K:K,MATCH(($I149/12),Constants!$A:$A,0))=0,0,INDEX(Constants!K:K,MATCH(($I149/12),Constants!$A:$A,0)))),0),"")</f>
        <v/>
      </c>
      <c r="BA149" s="147" t="str">
        <f>_xlfn.IFNA(INDEX(Producer!$L:$L,MATCH($D149,Producer!$A:$A,0)),"")</f>
        <v/>
      </c>
      <c r="BB149" s="146" t="str">
        <f>IFERROR(IF(AQ149=0,"",IF(($I149/12)=15,_xlfn.CONCAT(Constants!$N$7,TEXT(DATE(YEAR(H149)-(($I149/12)-3),MONTH(H149),DAY(H149)),"dd/mm/yyyy"),", ",Constants!$P$7,TEXT(DATE(YEAR(H149)-(($I149/12)-8),MONTH(H149),DAY(H149)),"dd/mm/yyyy"),", ",Constants!$T$7,TEXT(DATE(YEAR(H149)-(($I149/12)-11),MONTH(H149),DAY(H149)),"dd/mm/yyyy"),", ",Constants!$V$7,TEXT(DATE(YEAR(H149)-(($I149/12)-13),MONTH(H149),DAY(H149)),"dd/mm/yyyy"),", ",Constants!$W$7,TEXT($H149,"dd/mm/yyyy")),IF(($I149/12)=10,_xlfn.CONCAT(Constants!$N$6,TEXT(DATE(YEAR(H149)-(($I149/12)-2),MONTH(H149),DAY(H149)),"dd/mm/yyyy"),", ",Constants!$P$6,TEXT(DATE(YEAR(H149)-(($I149/12)-6),MONTH(H149),DAY(H149)),"dd/mm/yyyy"),", ",Constants!$T$6,TEXT(DATE(YEAR(H149)-(($I149/12)-8),MONTH(H149),DAY(H149)),"dd/mm/yyyy"),", ",Constants!$V$6,TEXT(DATE(YEAR(H149)-(($I149/12)-9),MONTH(H149),DAY(H149)),"dd/mm/yyyy"),", ",Constants!$W$6,TEXT($H149,"dd/mm/yyyy")),IF(($I149/12)=5,_xlfn.CONCAT(Constants!$N$5,TEXT(DATE(YEAR(H149)-(($I149/12)-1),MONTH(H149),DAY(H149)),"dd/mm/yyyy"),", ",Constants!$O$5,TEXT(DATE(YEAR(H149)-(($I149/12)-2),MONTH(H149),DAY(H149)),"dd/mm/yyyy"),", ",Constants!$P$5,TEXT(DATE(YEAR(H149)-(($I149/12)-3),MONTH(H149),DAY(H149)),"dd/mm/yyyy"),", ",Constants!$Q$5,TEXT(DATE(YEAR(H149)-(($I149/12)-4),MONTH(H149),DAY(H149)),"dd/mm/yyyy"),", ",Constants!$R$5,TEXT($H149,"dd/mm/yyyy")),IF(($I149/12)=3,_xlfn.CONCAT(Constants!$N$4,TEXT(DATE(YEAR(H149)-(($I149/12)-1),MONTH(H149),DAY(H149)),"dd/mm/yyyy"),", ",Constants!$O$4,TEXT(DATE(YEAR(H149)-(($I149/12)-2),MONTH(H149),DAY(H149)),"dd/mm/yyyy"),", ",Constants!$P$4,TEXT($H149,"dd/mm/yyyy")),IF(($I149/12)=2,_xlfn.CONCAT(Constants!$N$3,TEXT(DATE(YEAR(H149)-(($I149/12)-1),MONTH(H149),DAY(H149)),"dd/mm/yyyy"),", ",Constants!$O$3,TEXT($H149,"dd/mm/yyyy")),IF(($I149/12)=1,_xlfn.CONCAT(Constants!$N$2,TEXT($H149,"dd/mm/yyyy")),"Update Constants"))))))),"")</f>
        <v/>
      </c>
      <c r="BC149" s="147" t="str">
        <f>_xlfn.IFNA(VALUE(INDEX(Producer!$K:$K,MATCH($D149,Producer!$A:$A,0))),"")</f>
        <v/>
      </c>
      <c r="BD149" s="147" t="str">
        <f>_xlfn.IFNA(INDEX(Producer!$I:$I,MATCH($D149,Producer!$A:$A,0)),"")</f>
        <v/>
      </c>
      <c r="BE149" s="147" t="str">
        <f t="shared" si="64"/>
        <v/>
      </c>
      <c r="BF149" s="147"/>
      <c r="BG149" s="147"/>
      <c r="BH149" s="151" t="str">
        <f>_xlfn.IFNA(INDEX(Constants!$B:$B,MATCH(BC149,Constants!A:A,0)),"")</f>
        <v/>
      </c>
      <c r="BI149" s="147" t="str">
        <f>IF(LEFT(B149,15)="Limited Company",Constants!$D$16,IFERROR(_xlfn.IFNA(IF(C149="Residential",IF(BK149&lt;75,INDEX(Constants!$B:$B,MATCH(VALUE(60)/100,Constants!$A:$A,0)),INDEX(Constants!$B:$B,MATCH(VALUE(BK149)/100,Constants!$A:$A,0))),IF(BK149&lt;60,INDEX(Constants!$C:$C,MATCH(VALUE(60)/100,Constants!$A:$A,0)),INDEX(Constants!$C:$C,MATCH(VALUE(BK149)/100,Constants!$A:$A,0)))),""),""))</f>
        <v/>
      </c>
      <c r="BJ149" s="147" t="str">
        <f t="shared" si="65"/>
        <v/>
      </c>
      <c r="BK149" s="147" t="str">
        <f>_xlfn.IFNA(VALUE(INDEX(Producer!$E:$E,MATCH($D149,Producer!$A:$A,0)))*100,"")</f>
        <v/>
      </c>
      <c r="BL149" s="146" t="str">
        <f>_xlfn.IFNA(IF(IFERROR(FIND("Part &amp; Part",B149),-10)&gt;0,"PP",IF(OR(LEFT(B149,25)="Residential Interest Only",INDEX(Producer!$P:$P,MATCH($D149,Producer!$A:$A,0))="IO",INDEX(Producer!$P:$P,MATCH($D149,Producer!$A:$A,0))="Retirement Interest Only"),"IO",IF($C149="BuyToLet","CI, IO","CI"))),"")</f>
        <v/>
      </c>
      <c r="BM149" s="152" t="str">
        <f>_xlfn.IFNA(IF(BL149="IO",100%,IF(AND(INDEX(Producer!$P:$P,MATCH($D149,Producer!$A:$A,0))="Residential Interest Only Part &amp; Part",BK149=75),80%,IF(C149="BuyToLet",100%,IF(BL149="Interest Only",100%,IF(AND(INDEX(Producer!$P:$P,MATCH($D149,Producer!$A:$A,0))="Residential Interest Only Part &amp; Part",BK149=60),100%,""))))),"")</f>
        <v/>
      </c>
      <c r="BN149" s="218" t="str">
        <f>_xlfn.IFNA(IF(VALUE(INDEX(Producer!$H:$H,MATCH($D149,Producer!$A:$A,0)))=0,"",VALUE(INDEX(Producer!$H:$H,MATCH($D149,Producer!$A:$A,0)))),"")</f>
        <v/>
      </c>
      <c r="BO149" s="153"/>
      <c r="BP149" s="153"/>
      <c r="BQ149" s="219" t="str">
        <f t="shared" si="66"/>
        <v/>
      </c>
      <c r="BR149" s="146"/>
      <c r="BS149" s="146"/>
      <c r="BT149" s="146"/>
      <c r="BU149" s="146"/>
      <c r="BV149" s="219" t="str">
        <f t="shared" si="67"/>
        <v/>
      </c>
      <c r="BW149" s="146"/>
      <c r="BX149" s="146"/>
      <c r="BY149" s="146" t="str">
        <f t="shared" si="68"/>
        <v/>
      </c>
      <c r="BZ149" s="146" t="str">
        <f t="shared" si="69"/>
        <v/>
      </c>
      <c r="CA149" s="146" t="str">
        <f t="shared" si="70"/>
        <v/>
      </c>
      <c r="CB149" s="146" t="str">
        <f t="shared" si="71"/>
        <v/>
      </c>
      <c r="CC149" s="146" t="str">
        <f>_xlfn.IFNA(IF(INDEX(Producer!$P:$P,MATCH($D149,Producer!$A:$A,0))="Help to Buy","Only available","No"),"")</f>
        <v/>
      </c>
      <c r="CD149" s="146" t="str">
        <f>_xlfn.IFNA(IF(INDEX(Producer!$P:$P,MATCH($D149,Producer!$A:$A,0))="Shared Ownership","Only available","No"),"")</f>
        <v/>
      </c>
      <c r="CE149" s="146" t="str">
        <f>_xlfn.IFNA(IF(INDEX(Producer!$P:$P,MATCH($D149,Producer!$A:$A,0))="Right to Buy","Only available","No"),"")</f>
        <v/>
      </c>
      <c r="CF149" s="146" t="str">
        <f t="shared" si="72"/>
        <v/>
      </c>
      <c r="CG149" s="146" t="str">
        <f>_xlfn.IFNA(IF(INDEX(Producer!$P:$P,MATCH($D149,Producer!$A:$A,0))="Retirement Interest Only","Only available","No"),"")</f>
        <v/>
      </c>
      <c r="CH149" s="146" t="str">
        <f t="shared" si="73"/>
        <v/>
      </c>
      <c r="CI149" s="146" t="str">
        <f>_xlfn.IFNA(IF(INDEX(Producer!$P:$P,MATCH($D149,Producer!$A:$A,0))="Intermediary Holiday Let","Only available","No"),"")</f>
        <v/>
      </c>
      <c r="CJ149" s="146" t="str">
        <f t="shared" si="74"/>
        <v/>
      </c>
      <c r="CK149" s="146" t="str">
        <f>_xlfn.IFNA(IF(OR(INDEX(Producer!$P:$P,MATCH($D149,Producer!$A:$A,0))="Intermediary Small HMO",INDEX(Producer!$P:$P,MATCH($D149,Producer!$A:$A,0))="Intermediary Large HMO"),"Only available","No"),"")</f>
        <v/>
      </c>
      <c r="CL149" s="146" t="str">
        <f t="shared" si="75"/>
        <v/>
      </c>
      <c r="CM149" s="146" t="str">
        <f t="shared" si="76"/>
        <v/>
      </c>
      <c r="CN149" s="146" t="str">
        <f t="shared" si="77"/>
        <v/>
      </c>
      <c r="CO149" s="146" t="str">
        <f t="shared" si="78"/>
        <v/>
      </c>
      <c r="CP149" s="146" t="str">
        <f t="shared" si="79"/>
        <v/>
      </c>
      <c r="CQ149" s="146" t="str">
        <f t="shared" si="80"/>
        <v/>
      </c>
      <c r="CR149" s="146" t="str">
        <f t="shared" si="81"/>
        <v/>
      </c>
      <c r="CS149" s="146" t="str">
        <f t="shared" si="82"/>
        <v/>
      </c>
      <c r="CT149" s="146" t="str">
        <f t="shared" si="83"/>
        <v/>
      </c>
      <c r="CU149" s="146"/>
    </row>
    <row r="150" spans="1:99" ht="16.399999999999999" customHeight="1" x14ac:dyDescent="0.35">
      <c r="A150" s="145" t="str">
        <f t="shared" si="56"/>
        <v/>
      </c>
      <c r="B150" s="145" t="str">
        <f>_xlfn.IFNA(_xlfn.CONCAT(INDEX(Producer!$P:$P,MATCH($D150,Producer!$A:$A,0))," ",IF(INDEX(Producer!$N:$N,MATCH($D150,Producer!$A:$A,0))="Yes","Green ",""),IF(AND(INDEX(Producer!$L:$L,MATCH($D150,Producer!$A:$A,0))="No",INDEX(Producer!$C:$C,MATCH($D150,Producer!$A:$A,0))="Fixed"),"Flexit ",""),INDEX(Producer!$B:$B,MATCH($D150,Producer!$A:$A,0))," Year ",INDEX(Producer!$C:$C,MATCH($D150,Producer!$A:$A,0))," ",VALUE(INDEX(Producer!$E:$E,MATCH($D150,Producer!$A:$A,0)))*100,"% LTV",IF(INDEX(Producer!$N:$N,MATCH($D150,Producer!$A:$A,0))="Yes"," (EPC A-C)","")," - ",IF(INDEX(Producer!$D:$D,MATCH($D150,Producer!$A:$A,0))="DLY","Daily","Annual")),"")</f>
        <v/>
      </c>
      <c r="C150" s="146" t="str">
        <f>_xlfn.IFNA(INDEX(Producer!$Q:$Q,MATCH($D150,Producer!$A:$A,0)),"")</f>
        <v/>
      </c>
      <c r="D150" s="146" t="str">
        <f>IFERROR(VALUE(MID(Producer!$R$2,IF($D149="",1/0,FIND(_xlfn.CONCAT($D148,$D149),Producer!$R$2)+10),5)),"")</f>
        <v/>
      </c>
      <c r="E150" s="146" t="str">
        <f t="shared" si="57"/>
        <v/>
      </c>
      <c r="F150" s="146"/>
      <c r="G150" s="147" t="str">
        <f>_xlfn.IFNA(VALUE(INDEX(Producer!$F:$F,MATCH($D150,Producer!$A:$A,0)))*100,"")</f>
        <v/>
      </c>
      <c r="H150" s="216" t="str">
        <f>_xlfn.IFNA(IFERROR(DATEVALUE(INDEX(Producer!$M:$M,MATCH($D150,Producer!$A:$A,0))),(INDEX(Producer!$M:$M,MATCH($D150,Producer!$A:$A,0)))),"")</f>
        <v/>
      </c>
      <c r="I150" s="217" t="str">
        <f>_xlfn.IFNA(VALUE(INDEX(Producer!$B:$B,MATCH($D150,Producer!$A:$A,0)))*12,"")</f>
        <v/>
      </c>
      <c r="J150" s="146" t="str">
        <f>_xlfn.IFNA(IF(C150="Residential",IF(VALUE(INDEX(Producer!$B:$B,MATCH($D150,Producer!$A:$A,0)))&lt;5,Constants!$C$10,""),IF(VALUE(INDEX(Producer!$B:$B,MATCH($D150,Producer!$A:$A,0)))&lt;5,Constants!$C$11,"")),"")</f>
        <v/>
      </c>
      <c r="K150" s="216" t="str">
        <f>_xlfn.IFNA(IF(($I150)&lt;60,DATE(YEAR(H150)+(5-VALUE(INDEX(Producer!$B:$B,MATCH($D150,Producer!$A:$A,0)))),MONTH(H150),DAY(H150)),""),"")</f>
        <v/>
      </c>
      <c r="L150" s="153" t="str">
        <f t="shared" si="58"/>
        <v/>
      </c>
      <c r="M150" s="146"/>
      <c r="N150" s="148"/>
      <c r="O150" s="148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 t="str">
        <f>IF(D150="","",IF(C150="Residential",Constants!$B$10,Constants!$B$11))</f>
        <v/>
      </c>
      <c r="AL150" s="146" t="str">
        <f t="shared" si="59"/>
        <v/>
      </c>
      <c r="AM150" s="206" t="str">
        <f t="shared" si="60"/>
        <v/>
      </c>
      <c r="AN150" s="146" t="str">
        <f t="shared" si="61"/>
        <v/>
      </c>
      <c r="AO150" s="149" t="str">
        <f t="shared" si="62"/>
        <v/>
      </c>
      <c r="AP150" s="150" t="str">
        <f t="shared" si="63"/>
        <v/>
      </c>
      <c r="AQ150" s="146" t="str">
        <f>IFERROR(_xlfn.IFNA(IF($BA150="No",0,IF(INDEX(Constants!B:B,MATCH(($I150/12),Constants!$A:$A,0))=0,0,INDEX(Constants!B:B,MATCH(($I150/12),Constants!$A:$A,0)))),0),"")</f>
        <v/>
      </c>
      <c r="AR150" s="146" t="str">
        <f>IFERROR(_xlfn.IFNA(IF($BA150="No",0,IF(INDEX(Constants!C:C,MATCH(($I150/12),Constants!$A:$A,0))=0,0,INDEX(Constants!C:C,MATCH(($I150/12),Constants!$A:$A,0)))),0),"")</f>
        <v/>
      </c>
      <c r="AS150" s="146" t="str">
        <f>IFERROR(_xlfn.IFNA(IF($BA150="No",0,IF(INDEX(Constants!D:D,MATCH(($I150/12),Constants!$A:$A,0))=0,0,INDEX(Constants!D:D,MATCH(($I150/12),Constants!$A:$A,0)))),0),"")</f>
        <v/>
      </c>
      <c r="AT150" s="146" t="str">
        <f>IFERROR(_xlfn.IFNA(IF($BA150="No",0,IF(INDEX(Constants!E:E,MATCH(($I150/12),Constants!$A:$A,0))=0,0,INDEX(Constants!E:E,MATCH(($I150/12),Constants!$A:$A,0)))),0),"")</f>
        <v/>
      </c>
      <c r="AU150" s="146" t="str">
        <f>IFERROR(_xlfn.IFNA(IF($BA150="No",0,IF(INDEX(Constants!F:F,MATCH(($I150/12),Constants!$A:$A,0))=0,0,INDEX(Constants!F:F,MATCH(($I150/12),Constants!$A:$A,0)))),0),"")</f>
        <v/>
      </c>
      <c r="AV150" s="146" t="str">
        <f>IFERROR(_xlfn.IFNA(IF($BA150="No",0,IF(INDEX(Constants!G:G,MATCH(($I150/12),Constants!$A:$A,0))=0,0,INDEX(Constants!G:G,MATCH(($I150/12),Constants!$A:$A,0)))),0),"")</f>
        <v/>
      </c>
      <c r="AW150" s="146" t="str">
        <f>IFERROR(_xlfn.IFNA(IF($BA150="No",0,IF(INDEX(Constants!H:H,MATCH(($I150/12),Constants!$A:$A,0))=0,0,INDEX(Constants!H:H,MATCH(($I150/12),Constants!$A:$A,0)))),0),"")</f>
        <v/>
      </c>
      <c r="AX150" s="146" t="str">
        <f>IFERROR(_xlfn.IFNA(IF($BA150="No",0,IF(INDEX(Constants!I:I,MATCH(($I150/12),Constants!$A:$A,0))=0,0,INDEX(Constants!I:I,MATCH(($I150/12),Constants!$A:$A,0)))),0),"")</f>
        <v/>
      </c>
      <c r="AY150" s="146" t="str">
        <f>IFERROR(_xlfn.IFNA(IF($BA150="No",0,IF(INDEX(Constants!J:J,MATCH(($I150/12),Constants!$A:$A,0))=0,0,INDEX(Constants!J:J,MATCH(($I150/12),Constants!$A:$A,0)))),0),"")</f>
        <v/>
      </c>
      <c r="AZ150" s="146" t="str">
        <f>IFERROR(_xlfn.IFNA(IF($BA150="No",0,IF(INDEX(Constants!K:K,MATCH(($I150/12),Constants!$A:$A,0))=0,0,INDEX(Constants!K:K,MATCH(($I150/12),Constants!$A:$A,0)))),0),"")</f>
        <v/>
      </c>
      <c r="BA150" s="147" t="str">
        <f>_xlfn.IFNA(INDEX(Producer!$L:$L,MATCH($D150,Producer!$A:$A,0)),"")</f>
        <v/>
      </c>
      <c r="BB150" s="146" t="str">
        <f>IFERROR(IF(AQ150=0,"",IF(($I150/12)=15,_xlfn.CONCAT(Constants!$N$7,TEXT(DATE(YEAR(H150)-(($I150/12)-3),MONTH(H150),DAY(H150)),"dd/mm/yyyy"),", ",Constants!$P$7,TEXT(DATE(YEAR(H150)-(($I150/12)-8),MONTH(H150),DAY(H150)),"dd/mm/yyyy"),", ",Constants!$T$7,TEXT(DATE(YEAR(H150)-(($I150/12)-11),MONTH(H150),DAY(H150)),"dd/mm/yyyy"),", ",Constants!$V$7,TEXT(DATE(YEAR(H150)-(($I150/12)-13),MONTH(H150),DAY(H150)),"dd/mm/yyyy"),", ",Constants!$W$7,TEXT($H150,"dd/mm/yyyy")),IF(($I150/12)=10,_xlfn.CONCAT(Constants!$N$6,TEXT(DATE(YEAR(H150)-(($I150/12)-2),MONTH(H150),DAY(H150)),"dd/mm/yyyy"),", ",Constants!$P$6,TEXT(DATE(YEAR(H150)-(($I150/12)-6),MONTH(H150),DAY(H150)),"dd/mm/yyyy"),", ",Constants!$T$6,TEXT(DATE(YEAR(H150)-(($I150/12)-8),MONTH(H150),DAY(H150)),"dd/mm/yyyy"),", ",Constants!$V$6,TEXT(DATE(YEAR(H150)-(($I150/12)-9),MONTH(H150),DAY(H150)),"dd/mm/yyyy"),", ",Constants!$W$6,TEXT($H150,"dd/mm/yyyy")),IF(($I150/12)=5,_xlfn.CONCAT(Constants!$N$5,TEXT(DATE(YEAR(H150)-(($I150/12)-1),MONTH(H150),DAY(H150)),"dd/mm/yyyy"),", ",Constants!$O$5,TEXT(DATE(YEAR(H150)-(($I150/12)-2),MONTH(H150),DAY(H150)),"dd/mm/yyyy"),", ",Constants!$P$5,TEXT(DATE(YEAR(H150)-(($I150/12)-3),MONTH(H150),DAY(H150)),"dd/mm/yyyy"),", ",Constants!$Q$5,TEXT(DATE(YEAR(H150)-(($I150/12)-4),MONTH(H150),DAY(H150)),"dd/mm/yyyy"),", ",Constants!$R$5,TEXT($H150,"dd/mm/yyyy")),IF(($I150/12)=3,_xlfn.CONCAT(Constants!$N$4,TEXT(DATE(YEAR(H150)-(($I150/12)-1),MONTH(H150),DAY(H150)),"dd/mm/yyyy"),", ",Constants!$O$4,TEXT(DATE(YEAR(H150)-(($I150/12)-2),MONTH(H150),DAY(H150)),"dd/mm/yyyy"),", ",Constants!$P$4,TEXT($H150,"dd/mm/yyyy")),IF(($I150/12)=2,_xlfn.CONCAT(Constants!$N$3,TEXT(DATE(YEAR(H150)-(($I150/12)-1),MONTH(H150),DAY(H150)),"dd/mm/yyyy"),", ",Constants!$O$3,TEXT($H150,"dd/mm/yyyy")),IF(($I150/12)=1,_xlfn.CONCAT(Constants!$N$2,TEXT($H150,"dd/mm/yyyy")),"Update Constants"))))))),"")</f>
        <v/>
      </c>
      <c r="BC150" s="147" t="str">
        <f>_xlfn.IFNA(VALUE(INDEX(Producer!$K:$K,MATCH($D150,Producer!$A:$A,0))),"")</f>
        <v/>
      </c>
      <c r="BD150" s="147" t="str">
        <f>_xlfn.IFNA(INDEX(Producer!$I:$I,MATCH($D150,Producer!$A:$A,0)),"")</f>
        <v/>
      </c>
      <c r="BE150" s="147" t="str">
        <f t="shared" si="64"/>
        <v/>
      </c>
      <c r="BF150" s="147"/>
      <c r="BG150" s="147"/>
      <c r="BH150" s="151" t="str">
        <f>_xlfn.IFNA(INDEX(Constants!$B:$B,MATCH(BC150,Constants!A:A,0)),"")</f>
        <v/>
      </c>
      <c r="BI150" s="147" t="str">
        <f>IF(LEFT(B150,15)="Limited Company",Constants!$D$16,IFERROR(_xlfn.IFNA(IF(C150="Residential",IF(BK150&lt;75,INDEX(Constants!$B:$B,MATCH(VALUE(60)/100,Constants!$A:$A,0)),INDEX(Constants!$B:$B,MATCH(VALUE(BK150)/100,Constants!$A:$A,0))),IF(BK150&lt;60,INDEX(Constants!$C:$C,MATCH(VALUE(60)/100,Constants!$A:$A,0)),INDEX(Constants!$C:$C,MATCH(VALUE(BK150)/100,Constants!$A:$A,0)))),""),""))</f>
        <v/>
      </c>
      <c r="BJ150" s="147" t="str">
        <f t="shared" si="65"/>
        <v/>
      </c>
      <c r="BK150" s="147" t="str">
        <f>_xlfn.IFNA(VALUE(INDEX(Producer!$E:$E,MATCH($D150,Producer!$A:$A,0)))*100,"")</f>
        <v/>
      </c>
      <c r="BL150" s="146" t="str">
        <f>_xlfn.IFNA(IF(IFERROR(FIND("Part &amp; Part",B150),-10)&gt;0,"PP",IF(OR(LEFT(B150,25)="Residential Interest Only",INDEX(Producer!$P:$P,MATCH($D150,Producer!$A:$A,0))="IO",INDEX(Producer!$P:$P,MATCH($D150,Producer!$A:$A,0))="Retirement Interest Only"),"IO",IF($C150="BuyToLet","CI, IO","CI"))),"")</f>
        <v/>
      </c>
      <c r="BM150" s="152" t="str">
        <f>_xlfn.IFNA(IF(BL150="IO",100%,IF(AND(INDEX(Producer!$P:$P,MATCH($D150,Producer!$A:$A,0))="Residential Interest Only Part &amp; Part",BK150=75),80%,IF(C150="BuyToLet",100%,IF(BL150="Interest Only",100%,IF(AND(INDEX(Producer!$P:$P,MATCH($D150,Producer!$A:$A,0))="Residential Interest Only Part &amp; Part",BK150=60),100%,""))))),"")</f>
        <v/>
      </c>
      <c r="BN150" s="218" t="str">
        <f>_xlfn.IFNA(IF(VALUE(INDEX(Producer!$H:$H,MATCH($D150,Producer!$A:$A,0)))=0,"",VALUE(INDEX(Producer!$H:$H,MATCH($D150,Producer!$A:$A,0)))),"")</f>
        <v/>
      </c>
      <c r="BO150" s="153"/>
      <c r="BP150" s="153"/>
      <c r="BQ150" s="219" t="str">
        <f t="shared" si="66"/>
        <v/>
      </c>
      <c r="BR150" s="146"/>
      <c r="BS150" s="146"/>
      <c r="BT150" s="146"/>
      <c r="BU150" s="146"/>
      <c r="BV150" s="219" t="str">
        <f t="shared" si="67"/>
        <v/>
      </c>
      <c r="BW150" s="146"/>
      <c r="BX150" s="146"/>
      <c r="BY150" s="146" t="str">
        <f t="shared" si="68"/>
        <v/>
      </c>
      <c r="BZ150" s="146" t="str">
        <f t="shared" si="69"/>
        <v/>
      </c>
      <c r="CA150" s="146" t="str">
        <f t="shared" si="70"/>
        <v/>
      </c>
      <c r="CB150" s="146" t="str">
        <f t="shared" si="71"/>
        <v/>
      </c>
      <c r="CC150" s="146" t="str">
        <f>_xlfn.IFNA(IF(INDEX(Producer!$P:$P,MATCH($D150,Producer!$A:$A,0))="Help to Buy","Only available","No"),"")</f>
        <v/>
      </c>
      <c r="CD150" s="146" t="str">
        <f>_xlfn.IFNA(IF(INDEX(Producer!$P:$P,MATCH($D150,Producer!$A:$A,0))="Shared Ownership","Only available","No"),"")</f>
        <v/>
      </c>
      <c r="CE150" s="146" t="str">
        <f>_xlfn.IFNA(IF(INDEX(Producer!$P:$P,MATCH($D150,Producer!$A:$A,0))="Right to Buy","Only available","No"),"")</f>
        <v/>
      </c>
      <c r="CF150" s="146" t="str">
        <f t="shared" si="72"/>
        <v/>
      </c>
      <c r="CG150" s="146" t="str">
        <f>_xlfn.IFNA(IF(INDEX(Producer!$P:$P,MATCH($D150,Producer!$A:$A,0))="Retirement Interest Only","Only available","No"),"")</f>
        <v/>
      </c>
      <c r="CH150" s="146" t="str">
        <f t="shared" si="73"/>
        <v/>
      </c>
      <c r="CI150" s="146" t="str">
        <f>_xlfn.IFNA(IF(INDEX(Producer!$P:$P,MATCH($D150,Producer!$A:$A,0))="Intermediary Holiday Let","Only available","No"),"")</f>
        <v/>
      </c>
      <c r="CJ150" s="146" t="str">
        <f t="shared" si="74"/>
        <v/>
      </c>
      <c r="CK150" s="146" t="str">
        <f>_xlfn.IFNA(IF(OR(INDEX(Producer!$P:$P,MATCH($D150,Producer!$A:$A,0))="Intermediary Small HMO",INDEX(Producer!$P:$P,MATCH($D150,Producer!$A:$A,0))="Intermediary Large HMO"),"Only available","No"),"")</f>
        <v/>
      </c>
      <c r="CL150" s="146" t="str">
        <f t="shared" si="75"/>
        <v/>
      </c>
      <c r="CM150" s="146" t="str">
        <f t="shared" si="76"/>
        <v/>
      </c>
      <c r="CN150" s="146" t="str">
        <f t="shared" si="77"/>
        <v/>
      </c>
      <c r="CO150" s="146" t="str">
        <f t="shared" si="78"/>
        <v/>
      </c>
      <c r="CP150" s="146" t="str">
        <f t="shared" si="79"/>
        <v/>
      </c>
      <c r="CQ150" s="146" t="str">
        <f t="shared" si="80"/>
        <v/>
      </c>
      <c r="CR150" s="146" t="str">
        <f t="shared" si="81"/>
        <v/>
      </c>
      <c r="CS150" s="146" t="str">
        <f t="shared" si="82"/>
        <v/>
      </c>
      <c r="CT150" s="146" t="str">
        <f t="shared" si="83"/>
        <v/>
      </c>
      <c r="CU150" s="146"/>
    </row>
    <row r="151" spans="1:99" ht="16.399999999999999" customHeight="1" x14ac:dyDescent="0.35">
      <c r="A151" s="145" t="str">
        <f t="shared" si="56"/>
        <v/>
      </c>
      <c r="B151" s="145" t="str">
        <f>_xlfn.IFNA(_xlfn.CONCAT(INDEX(Producer!$P:$P,MATCH($D151,Producer!$A:$A,0))," ",IF(INDEX(Producer!$N:$N,MATCH($D151,Producer!$A:$A,0))="Yes","Green ",""),IF(AND(INDEX(Producer!$L:$L,MATCH($D151,Producer!$A:$A,0))="No",INDEX(Producer!$C:$C,MATCH($D151,Producer!$A:$A,0))="Fixed"),"Flexit ",""),INDEX(Producer!$B:$B,MATCH($D151,Producer!$A:$A,0))," Year ",INDEX(Producer!$C:$C,MATCH($D151,Producer!$A:$A,0))," ",VALUE(INDEX(Producer!$E:$E,MATCH($D151,Producer!$A:$A,0)))*100,"% LTV",IF(INDEX(Producer!$N:$N,MATCH($D151,Producer!$A:$A,0))="Yes"," (EPC A-C)","")," - ",IF(INDEX(Producer!$D:$D,MATCH($D151,Producer!$A:$A,0))="DLY","Daily","Annual")),"")</f>
        <v/>
      </c>
      <c r="C151" s="146" t="str">
        <f>_xlfn.IFNA(INDEX(Producer!$Q:$Q,MATCH($D151,Producer!$A:$A,0)),"")</f>
        <v/>
      </c>
      <c r="D151" s="146" t="str">
        <f>IFERROR(VALUE(MID(Producer!$R$2,IF($D150="",1/0,FIND(_xlfn.CONCAT($D149,$D150),Producer!$R$2)+10),5)),"")</f>
        <v/>
      </c>
      <c r="E151" s="146" t="str">
        <f t="shared" si="57"/>
        <v/>
      </c>
      <c r="F151" s="146"/>
      <c r="G151" s="147" t="str">
        <f>_xlfn.IFNA(VALUE(INDEX(Producer!$F:$F,MATCH($D151,Producer!$A:$A,0)))*100,"")</f>
        <v/>
      </c>
      <c r="H151" s="216" t="str">
        <f>_xlfn.IFNA(IFERROR(DATEVALUE(INDEX(Producer!$M:$M,MATCH($D151,Producer!$A:$A,0))),(INDEX(Producer!$M:$M,MATCH($D151,Producer!$A:$A,0)))),"")</f>
        <v/>
      </c>
      <c r="I151" s="217" t="str">
        <f>_xlfn.IFNA(VALUE(INDEX(Producer!$B:$B,MATCH($D151,Producer!$A:$A,0)))*12,"")</f>
        <v/>
      </c>
      <c r="J151" s="146" t="str">
        <f>_xlfn.IFNA(IF(C151="Residential",IF(VALUE(INDEX(Producer!$B:$B,MATCH($D151,Producer!$A:$A,0)))&lt;5,Constants!$C$10,""),IF(VALUE(INDEX(Producer!$B:$B,MATCH($D151,Producer!$A:$A,0)))&lt;5,Constants!$C$11,"")),"")</f>
        <v/>
      </c>
      <c r="K151" s="216" t="str">
        <f>_xlfn.IFNA(IF(($I151)&lt;60,DATE(YEAR(H151)+(5-VALUE(INDEX(Producer!$B:$B,MATCH($D151,Producer!$A:$A,0)))),MONTH(H151),DAY(H151)),""),"")</f>
        <v/>
      </c>
      <c r="L151" s="153" t="str">
        <f t="shared" si="58"/>
        <v/>
      </c>
      <c r="M151" s="146"/>
      <c r="N151" s="148"/>
      <c r="O151" s="148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 t="str">
        <f>IF(D151="","",IF(C151="Residential",Constants!$B$10,Constants!$B$11))</f>
        <v/>
      </c>
      <c r="AL151" s="146" t="str">
        <f t="shared" si="59"/>
        <v/>
      </c>
      <c r="AM151" s="206" t="str">
        <f t="shared" si="60"/>
        <v/>
      </c>
      <c r="AN151" s="146" t="str">
        <f t="shared" si="61"/>
        <v/>
      </c>
      <c r="AO151" s="149" t="str">
        <f t="shared" si="62"/>
        <v/>
      </c>
      <c r="AP151" s="150" t="str">
        <f t="shared" si="63"/>
        <v/>
      </c>
      <c r="AQ151" s="146" t="str">
        <f>IFERROR(_xlfn.IFNA(IF($BA151="No",0,IF(INDEX(Constants!B:B,MATCH(($I151/12),Constants!$A:$A,0))=0,0,INDEX(Constants!B:B,MATCH(($I151/12),Constants!$A:$A,0)))),0),"")</f>
        <v/>
      </c>
      <c r="AR151" s="146" t="str">
        <f>IFERROR(_xlfn.IFNA(IF($BA151="No",0,IF(INDEX(Constants!C:C,MATCH(($I151/12),Constants!$A:$A,0))=0,0,INDEX(Constants!C:C,MATCH(($I151/12),Constants!$A:$A,0)))),0),"")</f>
        <v/>
      </c>
      <c r="AS151" s="146" t="str">
        <f>IFERROR(_xlfn.IFNA(IF($BA151="No",0,IF(INDEX(Constants!D:D,MATCH(($I151/12),Constants!$A:$A,0))=0,0,INDEX(Constants!D:D,MATCH(($I151/12),Constants!$A:$A,0)))),0),"")</f>
        <v/>
      </c>
      <c r="AT151" s="146" t="str">
        <f>IFERROR(_xlfn.IFNA(IF($BA151="No",0,IF(INDEX(Constants!E:E,MATCH(($I151/12),Constants!$A:$A,0))=0,0,INDEX(Constants!E:E,MATCH(($I151/12),Constants!$A:$A,0)))),0),"")</f>
        <v/>
      </c>
      <c r="AU151" s="146" t="str">
        <f>IFERROR(_xlfn.IFNA(IF($BA151="No",0,IF(INDEX(Constants!F:F,MATCH(($I151/12),Constants!$A:$A,0))=0,0,INDEX(Constants!F:F,MATCH(($I151/12),Constants!$A:$A,0)))),0),"")</f>
        <v/>
      </c>
      <c r="AV151" s="146" t="str">
        <f>IFERROR(_xlfn.IFNA(IF($BA151="No",0,IF(INDEX(Constants!G:G,MATCH(($I151/12),Constants!$A:$A,0))=0,0,INDEX(Constants!G:G,MATCH(($I151/12),Constants!$A:$A,0)))),0),"")</f>
        <v/>
      </c>
      <c r="AW151" s="146" t="str">
        <f>IFERROR(_xlfn.IFNA(IF($BA151="No",0,IF(INDEX(Constants!H:H,MATCH(($I151/12),Constants!$A:$A,0))=0,0,INDEX(Constants!H:H,MATCH(($I151/12),Constants!$A:$A,0)))),0),"")</f>
        <v/>
      </c>
      <c r="AX151" s="146" t="str">
        <f>IFERROR(_xlfn.IFNA(IF($BA151="No",0,IF(INDEX(Constants!I:I,MATCH(($I151/12),Constants!$A:$A,0))=0,0,INDEX(Constants!I:I,MATCH(($I151/12),Constants!$A:$A,0)))),0),"")</f>
        <v/>
      </c>
      <c r="AY151" s="146" t="str">
        <f>IFERROR(_xlfn.IFNA(IF($BA151="No",0,IF(INDEX(Constants!J:J,MATCH(($I151/12),Constants!$A:$A,0))=0,0,INDEX(Constants!J:J,MATCH(($I151/12),Constants!$A:$A,0)))),0),"")</f>
        <v/>
      </c>
      <c r="AZ151" s="146" t="str">
        <f>IFERROR(_xlfn.IFNA(IF($BA151="No",0,IF(INDEX(Constants!K:K,MATCH(($I151/12),Constants!$A:$A,0))=0,0,INDEX(Constants!K:K,MATCH(($I151/12),Constants!$A:$A,0)))),0),"")</f>
        <v/>
      </c>
      <c r="BA151" s="147" t="str">
        <f>_xlfn.IFNA(INDEX(Producer!$L:$L,MATCH($D151,Producer!$A:$A,0)),"")</f>
        <v/>
      </c>
      <c r="BB151" s="146" t="str">
        <f>IFERROR(IF(AQ151=0,"",IF(($I151/12)=15,_xlfn.CONCAT(Constants!$N$7,TEXT(DATE(YEAR(H151)-(($I151/12)-3),MONTH(H151),DAY(H151)),"dd/mm/yyyy"),", ",Constants!$P$7,TEXT(DATE(YEAR(H151)-(($I151/12)-8),MONTH(H151),DAY(H151)),"dd/mm/yyyy"),", ",Constants!$T$7,TEXT(DATE(YEAR(H151)-(($I151/12)-11),MONTH(H151),DAY(H151)),"dd/mm/yyyy"),", ",Constants!$V$7,TEXT(DATE(YEAR(H151)-(($I151/12)-13),MONTH(H151),DAY(H151)),"dd/mm/yyyy"),", ",Constants!$W$7,TEXT($H151,"dd/mm/yyyy")),IF(($I151/12)=10,_xlfn.CONCAT(Constants!$N$6,TEXT(DATE(YEAR(H151)-(($I151/12)-2),MONTH(H151),DAY(H151)),"dd/mm/yyyy"),", ",Constants!$P$6,TEXT(DATE(YEAR(H151)-(($I151/12)-6),MONTH(H151),DAY(H151)),"dd/mm/yyyy"),", ",Constants!$T$6,TEXT(DATE(YEAR(H151)-(($I151/12)-8),MONTH(H151),DAY(H151)),"dd/mm/yyyy"),", ",Constants!$V$6,TEXT(DATE(YEAR(H151)-(($I151/12)-9),MONTH(H151),DAY(H151)),"dd/mm/yyyy"),", ",Constants!$W$6,TEXT($H151,"dd/mm/yyyy")),IF(($I151/12)=5,_xlfn.CONCAT(Constants!$N$5,TEXT(DATE(YEAR(H151)-(($I151/12)-1),MONTH(H151),DAY(H151)),"dd/mm/yyyy"),", ",Constants!$O$5,TEXT(DATE(YEAR(H151)-(($I151/12)-2),MONTH(H151),DAY(H151)),"dd/mm/yyyy"),", ",Constants!$P$5,TEXT(DATE(YEAR(H151)-(($I151/12)-3),MONTH(H151),DAY(H151)),"dd/mm/yyyy"),", ",Constants!$Q$5,TEXT(DATE(YEAR(H151)-(($I151/12)-4),MONTH(H151),DAY(H151)),"dd/mm/yyyy"),", ",Constants!$R$5,TEXT($H151,"dd/mm/yyyy")),IF(($I151/12)=3,_xlfn.CONCAT(Constants!$N$4,TEXT(DATE(YEAR(H151)-(($I151/12)-1),MONTH(H151),DAY(H151)),"dd/mm/yyyy"),", ",Constants!$O$4,TEXT(DATE(YEAR(H151)-(($I151/12)-2),MONTH(H151),DAY(H151)),"dd/mm/yyyy"),", ",Constants!$P$4,TEXT($H151,"dd/mm/yyyy")),IF(($I151/12)=2,_xlfn.CONCAT(Constants!$N$3,TEXT(DATE(YEAR(H151)-(($I151/12)-1),MONTH(H151),DAY(H151)),"dd/mm/yyyy"),", ",Constants!$O$3,TEXT($H151,"dd/mm/yyyy")),IF(($I151/12)=1,_xlfn.CONCAT(Constants!$N$2,TEXT($H151,"dd/mm/yyyy")),"Update Constants"))))))),"")</f>
        <v/>
      </c>
      <c r="BC151" s="147" t="str">
        <f>_xlfn.IFNA(VALUE(INDEX(Producer!$K:$K,MATCH($D151,Producer!$A:$A,0))),"")</f>
        <v/>
      </c>
      <c r="BD151" s="147" t="str">
        <f>_xlfn.IFNA(INDEX(Producer!$I:$I,MATCH($D151,Producer!$A:$A,0)),"")</f>
        <v/>
      </c>
      <c r="BE151" s="147" t="str">
        <f t="shared" si="64"/>
        <v/>
      </c>
      <c r="BF151" s="147"/>
      <c r="BG151" s="147"/>
      <c r="BH151" s="151" t="str">
        <f>_xlfn.IFNA(INDEX(Constants!$B:$B,MATCH(BC151,Constants!A:A,0)),"")</f>
        <v/>
      </c>
      <c r="BI151" s="147" t="str">
        <f>IF(LEFT(B151,15)="Limited Company",Constants!$D$16,IFERROR(_xlfn.IFNA(IF(C151="Residential",IF(BK151&lt;75,INDEX(Constants!$B:$B,MATCH(VALUE(60)/100,Constants!$A:$A,0)),INDEX(Constants!$B:$B,MATCH(VALUE(BK151)/100,Constants!$A:$A,0))),IF(BK151&lt;60,INDEX(Constants!$C:$C,MATCH(VALUE(60)/100,Constants!$A:$A,0)),INDEX(Constants!$C:$C,MATCH(VALUE(BK151)/100,Constants!$A:$A,0)))),""),""))</f>
        <v/>
      </c>
      <c r="BJ151" s="147" t="str">
        <f t="shared" si="65"/>
        <v/>
      </c>
      <c r="BK151" s="147" t="str">
        <f>_xlfn.IFNA(VALUE(INDEX(Producer!$E:$E,MATCH($D151,Producer!$A:$A,0)))*100,"")</f>
        <v/>
      </c>
      <c r="BL151" s="146" t="str">
        <f>_xlfn.IFNA(IF(IFERROR(FIND("Part &amp; Part",B151),-10)&gt;0,"PP",IF(OR(LEFT(B151,25)="Residential Interest Only",INDEX(Producer!$P:$P,MATCH($D151,Producer!$A:$A,0))="IO",INDEX(Producer!$P:$P,MATCH($D151,Producer!$A:$A,0))="Retirement Interest Only"),"IO",IF($C151="BuyToLet","CI, IO","CI"))),"")</f>
        <v/>
      </c>
      <c r="BM151" s="152" t="str">
        <f>_xlfn.IFNA(IF(BL151="IO",100%,IF(AND(INDEX(Producer!$P:$P,MATCH($D151,Producer!$A:$A,0))="Residential Interest Only Part &amp; Part",BK151=75),80%,IF(C151="BuyToLet",100%,IF(BL151="Interest Only",100%,IF(AND(INDEX(Producer!$P:$P,MATCH($D151,Producer!$A:$A,0))="Residential Interest Only Part &amp; Part",BK151=60),100%,""))))),"")</f>
        <v/>
      </c>
      <c r="BN151" s="218" t="str">
        <f>_xlfn.IFNA(IF(VALUE(INDEX(Producer!$H:$H,MATCH($D151,Producer!$A:$A,0)))=0,"",VALUE(INDEX(Producer!$H:$H,MATCH($D151,Producer!$A:$A,0)))),"")</f>
        <v/>
      </c>
      <c r="BO151" s="153"/>
      <c r="BP151" s="153"/>
      <c r="BQ151" s="219" t="str">
        <f t="shared" si="66"/>
        <v/>
      </c>
      <c r="BR151" s="146"/>
      <c r="BS151" s="146"/>
      <c r="BT151" s="146"/>
      <c r="BU151" s="146"/>
      <c r="BV151" s="219" t="str">
        <f t="shared" si="67"/>
        <v/>
      </c>
      <c r="BW151" s="146"/>
      <c r="BX151" s="146"/>
      <c r="BY151" s="146" t="str">
        <f t="shared" si="68"/>
        <v/>
      </c>
      <c r="BZ151" s="146" t="str">
        <f t="shared" si="69"/>
        <v/>
      </c>
      <c r="CA151" s="146" t="str">
        <f t="shared" si="70"/>
        <v/>
      </c>
      <c r="CB151" s="146" t="str">
        <f t="shared" si="71"/>
        <v/>
      </c>
      <c r="CC151" s="146" t="str">
        <f>_xlfn.IFNA(IF(INDEX(Producer!$P:$P,MATCH($D151,Producer!$A:$A,0))="Help to Buy","Only available","No"),"")</f>
        <v/>
      </c>
      <c r="CD151" s="146" t="str">
        <f>_xlfn.IFNA(IF(INDEX(Producer!$P:$P,MATCH($D151,Producer!$A:$A,0))="Shared Ownership","Only available","No"),"")</f>
        <v/>
      </c>
      <c r="CE151" s="146" t="str">
        <f>_xlfn.IFNA(IF(INDEX(Producer!$P:$P,MATCH($D151,Producer!$A:$A,0))="Right to Buy","Only available","No"),"")</f>
        <v/>
      </c>
      <c r="CF151" s="146" t="str">
        <f t="shared" si="72"/>
        <v/>
      </c>
      <c r="CG151" s="146" t="str">
        <f>_xlfn.IFNA(IF(INDEX(Producer!$P:$P,MATCH($D151,Producer!$A:$A,0))="Retirement Interest Only","Only available","No"),"")</f>
        <v/>
      </c>
      <c r="CH151" s="146" t="str">
        <f t="shared" si="73"/>
        <v/>
      </c>
      <c r="CI151" s="146" t="str">
        <f>_xlfn.IFNA(IF(INDEX(Producer!$P:$P,MATCH($D151,Producer!$A:$A,0))="Intermediary Holiday Let","Only available","No"),"")</f>
        <v/>
      </c>
      <c r="CJ151" s="146" t="str">
        <f t="shared" si="74"/>
        <v/>
      </c>
      <c r="CK151" s="146" t="str">
        <f>_xlfn.IFNA(IF(OR(INDEX(Producer!$P:$P,MATCH($D151,Producer!$A:$A,0))="Intermediary Small HMO",INDEX(Producer!$P:$P,MATCH($D151,Producer!$A:$A,0))="Intermediary Large HMO"),"Only available","No"),"")</f>
        <v/>
      </c>
      <c r="CL151" s="146" t="str">
        <f t="shared" si="75"/>
        <v/>
      </c>
      <c r="CM151" s="146" t="str">
        <f t="shared" si="76"/>
        <v/>
      </c>
      <c r="CN151" s="146" t="str">
        <f t="shared" si="77"/>
        <v/>
      </c>
      <c r="CO151" s="146" t="str">
        <f t="shared" si="78"/>
        <v/>
      </c>
      <c r="CP151" s="146" t="str">
        <f t="shared" si="79"/>
        <v/>
      </c>
      <c r="CQ151" s="146" t="str">
        <f t="shared" si="80"/>
        <v/>
      </c>
      <c r="CR151" s="146" t="str">
        <f t="shared" si="81"/>
        <v/>
      </c>
      <c r="CS151" s="146" t="str">
        <f t="shared" si="82"/>
        <v/>
      </c>
      <c r="CT151" s="146" t="str">
        <f t="shared" si="83"/>
        <v/>
      </c>
      <c r="CU151" s="146"/>
    </row>
    <row r="152" spans="1:99" ht="16.399999999999999" customHeight="1" x14ac:dyDescent="0.35">
      <c r="A152" s="145" t="str">
        <f t="shared" si="56"/>
        <v/>
      </c>
      <c r="B152" s="145" t="str">
        <f>_xlfn.IFNA(_xlfn.CONCAT(INDEX(Producer!$P:$P,MATCH($D152,Producer!$A:$A,0))," ",IF(INDEX(Producer!$N:$N,MATCH($D152,Producer!$A:$A,0))="Yes","Green ",""),IF(AND(INDEX(Producer!$L:$L,MATCH($D152,Producer!$A:$A,0))="No",INDEX(Producer!$C:$C,MATCH($D152,Producer!$A:$A,0))="Fixed"),"Flexit ",""),INDEX(Producer!$B:$B,MATCH($D152,Producer!$A:$A,0))," Year ",INDEX(Producer!$C:$C,MATCH($D152,Producer!$A:$A,0))," ",VALUE(INDEX(Producer!$E:$E,MATCH($D152,Producer!$A:$A,0)))*100,"% LTV",IF(INDEX(Producer!$N:$N,MATCH($D152,Producer!$A:$A,0))="Yes"," (EPC A-C)","")," - ",IF(INDEX(Producer!$D:$D,MATCH($D152,Producer!$A:$A,0))="DLY","Daily","Annual")),"")</f>
        <v/>
      </c>
      <c r="C152" s="146" t="str">
        <f>_xlfn.IFNA(INDEX(Producer!$Q:$Q,MATCH($D152,Producer!$A:$A,0)),"")</f>
        <v/>
      </c>
      <c r="D152" s="146" t="str">
        <f>IFERROR(VALUE(MID(Producer!$R$2,IF($D151="",1/0,FIND(_xlfn.CONCAT($D150,$D151),Producer!$R$2)+10),5)),"")</f>
        <v/>
      </c>
      <c r="E152" s="146" t="str">
        <f t="shared" si="57"/>
        <v/>
      </c>
      <c r="F152" s="146"/>
      <c r="G152" s="147" t="str">
        <f>_xlfn.IFNA(VALUE(INDEX(Producer!$F:$F,MATCH($D152,Producer!$A:$A,0)))*100,"")</f>
        <v/>
      </c>
      <c r="H152" s="216" t="str">
        <f>_xlfn.IFNA(IFERROR(DATEVALUE(INDEX(Producer!$M:$M,MATCH($D152,Producer!$A:$A,0))),(INDEX(Producer!$M:$M,MATCH($D152,Producer!$A:$A,0)))),"")</f>
        <v/>
      </c>
      <c r="I152" s="217" t="str">
        <f>_xlfn.IFNA(VALUE(INDEX(Producer!$B:$B,MATCH($D152,Producer!$A:$A,0)))*12,"")</f>
        <v/>
      </c>
      <c r="J152" s="146" t="str">
        <f>_xlfn.IFNA(IF(C152="Residential",IF(VALUE(INDEX(Producer!$B:$B,MATCH($D152,Producer!$A:$A,0)))&lt;5,Constants!$C$10,""),IF(VALUE(INDEX(Producer!$B:$B,MATCH($D152,Producer!$A:$A,0)))&lt;5,Constants!$C$11,"")),"")</f>
        <v/>
      </c>
      <c r="K152" s="216" t="str">
        <f>_xlfn.IFNA(IF(($I152)&lt;60,DATE(YEAR(H152)+(5-VALUE(INDEX(Producer!$B:$B,MATCH($D152,Producer!$A:$A,0)))),MONTH(H152),DAY(H152)),""),"")</f>
        <v/>
      </c>
      <c r="L152" s="153" t="str">
        <f t="shared" si="58"/>
        <v/>
      </c>
      <c r="M152" s="146"/>
      <c r="N152" s="148"/>
      <c r="O152" s="148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 t="str">
        <f>IF(D152="","",IF(C152="Residential",Constants!$B$10,Constants!$B$11))</f>
        <v/>
      </c>
      <c r="AL152" s="146" t="str">
        <f t="shared" si="59"/>
        <v/>
      </c>
      <c r="AM152" s="206" t="str">
        <f t="shared" si="60"/>
        <v/>
      </c>
      <c r="AN152" s="146" t="str">
        <f t="shared" si="61"/>
        <v/>
      </c>
      <c r="AO152" s="149" t="str">
        <f t="shared" si="62"/>
        <v/>
      </c>
      <c r="AP152" s="150" t="str">
        <f t="shared" si="63"/>
        <v/>
      </c>
      <c r="AQ152" s="146" t="str">
        <f>IFERROR(_xlfn.IFNA(IF($BA152="No",0,IF(INDEX(Constants!B:B,MATCH(($I152/12),Constants!$A:$A,0))=0,0,INDEX(Constants!B:B,MATCH(($I152/12),Constants!$A:$A,0)))),0),"")</f>
        <v/>
      </c>
      <c r="AR152" s="146" t="str">
        <f>IFERROR(_xlfn.IFNA(IF($BA152="No",0,IF(INDEX(Constants!C:C,MATCH(($I152/12),Constants!$A:$A,0))=0,0,INDEX(Constants!C:C,MATCH(($I152/12),Constants!$A:$A,0)))),0),"")</f>
        <v/>
      </c>
      <c r="AS152" s="146" t="str">
        <f>IFERROR(_xlfn.IFNA(IF($BA152="No",0,IF(INDEX(Constants!D:D,MATCH(($I152/12),Constants!$A:$A,0))=0,0,INDEX(Constants!D:D,MATCH(($I152/12),Constants!$A:$A,0)))),0),"")</f>
        <v/>
      </c>
      <c r="AT152" s="146" t="str">
        <f>IFERROR(_xlfn.IFNA(IF($BA152="No",0,IF(INDEX(Constants!E:E,MATCH(($I152/12),Constants!$A:$A,0))=0,0,INDEX(Constants!E:E,MATCH(($I152/12),Constants!$A:$A,0)))),0),"")</f>
        <v/>
      </c>
      <c r="AU152" s="146" t="str">
        <f>IFERROR(_xlfn.IFNA(IF($BA152="No",0,IF(INDEX(Constants!F:F,MATCH(($I152/12),Constants!$A:$A,0))=0,0,INDEX(Constants!F:F,MATCH(($I152/12),Constants!$A:$A,0)))),0),"")</f>
        <v/>
      </c>
      <c r="AV152" s="146" t="str">
        <f>IFERROR(_xlfn.IFNA(IF($BA152="No",0,IF(INDEX(Constants!G:G,MATCH(($I152/12),Constants!$A:$A,0))=0,0,INDEX(Constants!G:G,MATCH(($I152/12),Constants!$A:$A,0)))),0),"")</f>
        <v/>
      </c>
      <c r="AW152" s="146" t="str">
        <f>IFERROR(_xlfn.IFNA(IF($BA152="No",0,IF(INDEX(Constants!H:H,MATCH(($I152/12),Constants!$A:$A,0))=0,0,INDEX(Constants!H:H,MATCH(($I152/12),Constants!$A:$A,0)))),0),"")</f>
        <v/>
      </c>
      <c r="AX152" s="146" t="str">
        <f>IFERROR(_xlfn.IFNA(IF($BA152="No",0,IF(INDEX(Constants!I:I,MATCH(($I152/12),Constants!$A:$A,0))=0,0,INDEX(Constants!I:I,MATCH(($I152/12),Constants!$A:$A,0)))),0),"")</f>
        <v/>
      </c>
      <c r="AY152" s="146" t="str">
        <f>IFERROR(_xlfn.IFNA(IF($BA152="No",0,IF(INDEX(Constants!J:J,MATCH(($I152/12),Constants!$A:$A,0))=0,0,INDEX(Constants!J:J,MATCH(($I152/12),Constants!$A:$A,0)))),0),"")</f>
        <v/>
      </c>
      <c r="AZ152" s="146" t="str">
        <f>IFERROR(_xlfn.IFNA(IF($BA152="No",0,IF(INDEX(Constants!K:K,MATCH(($I152/12),Constants!$A:$A,0))=0,0,INDEX(Constants!K:K,MATCH(($I152/12),Constants!$A:$A,0)))),0),"")</f>
        <v/>
      </c>
      <c r="BA152" s="147" t="str">
        <f>_xlfn.IFNA(INDEX(Producer!$L:$L,MATCH($D152,Producer!$A:$A,0)),"")</f>
        <v/>
      </c>
      <c r="BB152" s="146" t="str">
        <f>IFERROR(IF(AQ152=0,"",IF(($I152/12)=15,_xlfn.CONCAT(Constants!$N$7,TEXT(DATE(YEAR(H152)-(($I152/12)-3),MONTH(H152),DAY(H152)),"dd/mm/yyyy"),", ",Constants!$P$7,TEXT(DATE(YEAR(H152)-(($I152/12)-8),MONTH(H152),DAY(H152)),"dd/mm/yyyy"),", ",Constants!$T$7,TEXT(DATE(YEAR(H152)-(($I152/12)-11),MONTH(H152),DAY(H152)),"dd/mm/yyyy"),", ",Constants!$V$7,TEXT(DATE(YEAR(H152)-(($I152/12)-13),MONTH(H152),DAY(H152)),"dd/mm/yyyy"),", ",Constants!$W$7,TEXT($H152,"dd/mm/yyyy")),IF(($I152/12)=10,_xlfn.CONCAT(Constants!$N$6,TEXT(DATE(YEAR(H152)-(($I152/12)-2),MONTH(H152),DAY(H152)),"dd/mm/yyyy"),", ",Constants!$P$6,TEXT(DATE(YEAR(H152)-(($I152/12)-6),MONTH(H152),DAY(H152)),"dd/mm/yyyy"),", ",Constants!$T$6,TEXT(DATE(YEAR(H152)-(($I152/12)-8),MONTH(H152),DAY(H152)),"dd/mm/yyyy"),", ",Constants!$V$6,TEXT(DATE(YEAR(H152)-(($I152/12)-9),MONTH(H152),DAY(H152)),"dd/mm/yyyy"),", ",Constants!$W$6,TEXT($H152,"dd/mm/yyyy")),IF(($I152/12)=5,_xlfn.CONCAT(Constants!$N$5,TEXT(DATE(YEAR(H152)-(($I152/12)-1),MONTH(H152),DAY(H152)),"dd/mm/yyyy"),", ",Constants!$O$5,TEXT(DATE(YEAR(H152)-(($I152/12)-2),MONTH(H152),DAY(H152)),"dd/mm/yyyy"),", ",Constants!$P$5,TEXT(DATE(YEAR(H152)-(($I152/12)-3),MONTH(H152),DAY(H152)),"dd/mm/yyyy"),", ",Constants!$Q$5,TEXT(DATE(YEAR(H152)-(($I152/12)-4),MONTH(H152),DAY(H152)),"dd/mm/yyyy"),", ",Constants!$R$5,TEXT($H152,"dd/mm/yyyy")),IF(($I152/12)=3,_xlfn.CONCAT(Constants!$N$4,TEXT(DATE(YEAR(H152)-(($I152/12)-1),MONTH(H152),DAY(H152)),"dd/mm/yyyy"),", ",Constants!$O$4,TEXT(DATE(YEAR(H152)-(($I152/12)-2),MONTH(H152),DAY(H152)),"dd/mm/yyyy"),", ",Constants!$P$4,TEXT($H152,"dd/mm/yyyy")),IF(($I152/12)=2,_xlfn.CONCAT(Constants!$N$3,TEXT(DATE(YEAR(H152)-(($I152/12)-1),MONTH(H152),DAY(H152)),"dd/mm/yyyy"),", ",Constants!$O$3,TEXT($H152,"dd/mm/yyyy")),IF(($I152/12)=1,_xlfn.CONCAT(Constants!$N$2,TEXT($H152,"dd/mm/yyyy")),"Update Constants"))))))),"")</f>
        <v/>
      </c>
      <c r="BC152" s="147" t="str">
        <f>_xlfn.IFNA(VALUE(INDEX(Producer!$K:$K,MATCH($D152,Producer!$A:$A,0))),"")</f>
        <v/>
      </c>
      <c r="BD152" s="147" t="str">
        <f>_xlfn.IFNA(INDEX(Producer!$I:$I,MATCH($D152,Producer!$A:$A,0)),"")</f>
        <v/>
      </c>
      <c r="BE152" s="147" t="str">
        <f t="shared" si="64"/>
        <v/>
      </c>
      <c r="BF152" s="147"/>
      <c r="BG152" s="147"/>
      <c r="BH152" s="151" t="str">
        <f>_xlfn.IFNA(INDEX(Constants!$B:$B,MATCH(BC152,Constants!A:A,0)),"")</f>
        <v/>
      </c>
      <c r="BI152" s="147" t="str">
        <f>IF(LEFT(B152,15)="Limited Company",Constants!$D$16,IFERROR(_xlfn.IFNA(IF(C152="Residential",IF(BK152&lt;75,INDEX(Constants!$B:$B,MATCH(VALUE(60)/100,Constants!$A:$A,0)),INDEX(Constants!$B:$B,MATCH(VALUE(BK152)/100,Constants!$A:$A,0))),IF(BK152&lt;60,INDEX(Constants!$C:$C,MATCH(VALUE(60)/100,Constants!$A:$A,0)),INDEX(Constants!$C:$C,MATCH(VALUE(BK152)/100,Constants!$A:$A,0)))),""),""))</f>
        <v/>
      </c>
      <c r="BJ152" s="147" t="str">
        <f t="shared" si="65"/>
        <v/>
      </c>
      <c r="BK152" s="147" t="str">
        <f>_xlfn.IFNA(VALUE(INDEX(Producer!$E:$E,MATCH($D152,Producer!$A:$A,0)))*100,"")</f>
        <v/>
      </c>
      <c r="BL152" s="146" t="str">
        <f>_xlfn.IFNA(IF(IFERROR(FIND("Part &amp; Part",B152),-10)&gt;0,"PP",IF(OR(LEFT(B152,25)="Residential Interest Only",INDEX(Producer!$P:$P,MATCH($D152,Producer!$A:$A,0))="IO",INDEX(Producer!$P:$P,MATCH($D152,Producer!$A:$A,0))="Retirement Interest Only"),"IO",IF($C152="BuyToLet","CI, IO","CI"))),"")</f>
        <v/>
      </c>
      <c r="BM152" s="152" t="str">
        <f>_xlfn.IFNA(IF(BL152="IO",100%,IF(AND(INDEX(Producer!$P:$P,MATCH($D152,Producer!$A:$A,0))="Residential Interest Only Part &amp; Part",BK152=75),80%,IF(C152="BuyToLet",100%,IF(BL152="Interest Only",100%,IF(AND(INDEX(Producer!$P:$P,MATCH($D152,Producer!$A:$A,0))="Residential Interest Only Part &amp; Part",BK152=60),100%,""))))),"")</f>
        <v/>
      </c>
      <c r="BN152" s="218" t="str">
        <f>_xlfn.IFNA(IF(VALUE(INDEX(Producer!$H:$H,MATCH($D152,Producer!$A:$A,0)))=0,"",VALUE(INDEX(Producer!$H:$H,MATCH($D152,Producer!$A:$A,0)))),"")</f>
        <v/>
      </c>
      <c r="BO152" s="153"/>
      <c r="BP152" s="153"/>
      <c r="BQ152" s="219" t="str">
        <f t="shared" si="66"/>
        <v/>
      </c>
      <c r="BR152" s="146"/>
      <c r="BS152" s="146"/>
      <c r="BT152" s="146"/>
      <c r="BU152" s="146"/>
      <c r="BV152" s="219" t="str">
        <f t="shared" si="67"/>
        <v/>
      </c>
      <c r="BW152" s="146"/>
      <c r="BX152" s="146"/>
      <c r="BY152" s="146" t="str">
        <f t="shared" si="68"/>
        <v/>
      </c>
      <c r="BZ152" s="146" t="str">
        <f t="shared" si="69"/>
        <v/>
      </c>
      <c r="CA152" s="146" t="str">
        <f t="shared" si="70"/>
        <v/>
      </c>
      <c r="CB152" s="146" t="str">
        <f t="shared" si="71"/>
        <v/>
      </c>
      <c r="CC152" s="146" t="str">
        <f>_xlfn.IFNA(IF(INDEX(Producer!$P:$P,MATCH($D152,Producer!$A:$A,0))="Help to Buy","Only available","No"),"")</f>
        <v/>
      </c>
      <c r="CD152" s="146" t="str">
        <f>_xlfn.IFNA(IF(INDEX(Producer!$P:$P,MATCH($D152,Producer!$A:$A,0))="Shared Ownership","Only available","No"),"")</f>
        <v/>
      </c>
      <c r="CE152" s="146" t="str">
        <f>_xlfn.IFNA(IF(INDEX(Producer!$P:$P,MATCH($D152,Producer!$A:$A,0))="Right to Buy","Only available","No"),"")</f>
        <v/>
      </c>
      <c r="CF152" s="146" t="str">
        <f t="shared" si="72"/>
        <v/>
      </c>
      <c r="CG152" s="146" t="str">
        <f>_xlfn.IFNA(IF(INDEX(Producer!$P:$P,MATCH($D152,Producer!$A:$A,0))="Retirement Interest Only","Only available","No"),"")</f>
        <v/>
      </c>
      <c r="CH152" s="146" t="str">
        <f t="shared" si="73"/>
        <v/>
      </c>
      <c r="CI152" s="146" t="str">
        <f>_xlfn.IFNA(IF(INDEX(Producer!$P:$P,MATCH($D152,Producer!$A:$A,0))="Intermediary Holiday Let","Only available","No"),"")</f>
        <v/>
      </c>
      <c r="CJ152" s="146" t="str">
        <f t="shared" si="74"/>
        <v/>
      </c>
      <c r="CK152" s="146" t="str">
        <f>_xlfn.IFNA(IF(OR(INDEX(Producer!$P:$P,MATCH($D152,Producer!$A:$A,0))="Intermediary Small HMO",INDEX(Producer!$P:$P,MATCH($D152,Producer!$A:$A,0))="Intermediary Large HMO"),"Only available","No"),"")</f>
        <v/>
      </c>
      <c r="CL152" s="146" t="str">
        <f t="shared" si="75"/>
        <v/>
      </c>
      <c r="CM152" s="146" t="str">
        <f t="shared" si="76"/>
        <v/>
      </c>
      <c r="CN152" s="146" t="str">
        <f t="shared" si="77"/>
        <v/>
      </c>
      <c r="CO152" s="146" t="str">
        <f t="shared" si="78"/>
        <v/>
      </c>
      <c r="CP152" s="146" t="str">
        <f t="shared" si="79"/>
        <v/>
      </c>
      <c r="CQ152" s="146" t="str">
        <f t="shared" si="80"/>
        <v/>
      </c>
      <c r="CR152" s="146" t="str">
        <f t="shared" si="81"/>
        <v/>
      </c>
      <c r="CS152" s="146" t="str">
        <f t="shared" si="82"/>
        <v/>
      </c>
      <c r="CT152" s="146" t="str">
        <f t="shared" si="83"/>
        <v/>
      </c>
      <c r="CU152" s="146"/>
    </row>
    <row r="153" spans="1:99" ht="16.399999999999999" customHeight="1" x14ac:dyDescent="0.35">
      <c r="A153" s="145" t="str">
        <f t="shared" si="56"/>
        <v/>
      </c>
      <c r="B153" s="145" t="str">
        <f>_xlfn.IFNA(_xlfn.CONCAT(INDEX(Producer!$P:$P,MATCH($D153,Producer!$A:$A,0))," ",IF(INDEX(Producer!$N:$N,MATCH($D153,Producer!$A:$A,0))="Yes","Green ",""),IF(AND(INDEX(Producer!$L:$L,MATCH($D153,Producer!$A:$A,0))="No",INDEX(Producer!$C:$C,MATCH($D153,Producer!$A:$A,0))="Fixed"),"Flexit ",""),INDEX(Producer!$B:$B,MATCH($D153,Producer!$A:$A,0))," Year ",INDEX(Producer!$C:$C,MATCH($D153,Producer!$A:$A,0))," ",VALUE(INDEX(Producer!$E:$E,MATCH($D153,Producer!$A:$A,0)))*100,"% LTV",IF(INDEX(Producer!$N:$N,MATCH($D153,Producer!$A:$A,0))="Yes"," (EPC A-C)","")," - ",IF(INDEX(Producer!$D:$D,MATCH($D153,Producer!$A:$A,0))="DLY","Daily","Annual")),"")</f>
        <v/>
      </c>
      <c r="C153" s="146" t="str">
        <f>_xlfn.IFNA(INDEX(Producer!$Q:$Q,MATCH($D153,Producer!$A:$A,0)),"")</f>
        <v/>
      </c>
      <c r="D153" s="146" t="str">
        <f>IFERROR(VALUE(MID(Producer!$R$2,IF($D152="",1/0,FIND(_xlfn.CONCAT($D151,$D152),Producer!$R$2)+10),5)),"")</f>
        <v/>
      </c>
      <c r="E153" s="146" t="str">
        <f t="shared" si="57"/>
        <v/>
      </c>
      <c r="F153" s="146"/>
      <c r="G153" s="147" t="str">
        <f>_xlfn.IFNA(VALUE(INDEX(Producer!$F:$F,MATCH($D153,Producer!$A:$A,0)))*100,"")</f>
        <v/>
      </c>
      <c r="H153" s="216" t="str">
        <f>_xlfn.IFNA(IFERROR(DATEVALUE(INDEX(Producer!$M:$M,MATCH($D153,Producer!$A:$A,0))),(INDEX(Producer!$M:$M,MATCH($D153,Producer!$A:$A,0)))),"")</f>
        <v/>
      </c>
      <c r="I153" s="217" t="str">
        <f>_xlfn.IFNA(VALUE(INDEX(Producer!$B:$B,MATCH($D153,Producer!$A:$A,0)))*12,"")</f>
        <v/>
      </c>
      <c r="J153" s="146" t="str">
        <f>_xlfn.IFNA(IF(C153="Residential",IF(VALUE(INDEX(Producer!$B:$B,MATCH($D153,Producer!$A:$A,0)))&lt;5,Constants!$C$10,""),IF(VALUE(INDEX(Producer!$B:$B,MATCH($D153,Producer!$A:$A,0)))&lt;5,Constants!$C$11,"")),"")</f>
        <v/>
      </c>
      <c r="K153" s="216" t="str">
        <f>_xlfn.IFNA(IF(($I153)&lt;60,DATE(YEAR(H153)+(5-VALUE(INDEX(Producer!$B:$B,MATCH($D153,Producer!$A:$A,0)))),MONTH(H153),DAY(H153)),""),"")</f>
        <v/>
      </c>
      <c r="L153" s="153" t="str">
        <f t="shared" si="58"/>
        <v/>
      </c>
      <c r="M153" s="146"/>
      <c r="N153" s="148"/>
      <c r="O153" s="148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6"/>
      <c r="AK153" s="146" t="str">
        <f>IF(D153="","",IF(C153="Residential",Constants!$B$10,Constants!$B$11))</f>
        <v/>
      </c>
      <c r="AL153" s="146" t="str">
        <f t="shared" si="59"/>
        <v/>
      </c>
      <c r="AM153" s="206" t="str">
        <f t="shared" si="60"/>
        <v/>
      </c>
      <c r="AN153" s="146" t="str">
        <f t="shared" si="61"/>
        <v/>
      </c>
      <c r="AO153" s="149" t="str">
        <f t="shared" si="62"/>
        <v/>
      </c>
      <c r="AP153" s="150" t="str">
        <f t="shared" si="63"/>
        <v/>
      </c>
      <c r="AQ153" s="146" t="str">
        <f>IFERROR(_xlfn.IFNA(IF($BA153="No",0,IF(INDEX(Constants!B:B,MATCH(($I153/12),Constants!$A:$A,0))=0,0,INDEX(Constants!B:B,MATCH(($I153/12),Constants!$A:$A,0)))),0),"")</f>
        <v/>
      </c>
      <c r="AR153" s="146" t="str">
        <f>IFERROR(_xlfn.IFNA(IF($BA153="No",0,IF(INDEX(Constants!C:C,MATCH(($I153/12),Constants!$A:$A,0))=0,0,INDEX(Constants!C:C,MATCH(($I153/12),Constants!$A:$A,0)))),0),"")</f>
        <v/>
      </c>
      <c r="AS153" s="146" t="str">
        <f>IFERROR(_xlfn.IFNA(IF($BA153="No",0,IF(INDEX(Constants!D:D,MATCH(($I153/12),Constants!$A:$A,0))=0,0,INDEX(Constants!D:D,MATCH(($I153/12),Constants!$A:$A,0)))),0),"")</f>
        <v/>
      </c>
      <c r="AT153" s="146" t="str">
        <f>IFERROR(_xlfn.IFNA(IF($BA153="No",0,IF(INDEX(Constants!E:E,MATCH(($I153/12),Constants!$A:$A,0))=0,0,INDEX(Constants!E:E,MATCH(($I153/12),Constants!$A:$A,0)))),0),"")</f>
        <v/>
      </c>
      <c r="AU153" s="146" t="str">
        <f>IFERROR(_xlfn.IFNA(IF($BA153="No",0,IF(INDEX(Constants!F:F,MATCH(($I153/12),Constants!$A:$A,0))=0,0,INDEX(Constants!F:F,MATCH(($I153/12),Constants!$A:$A,0)))),0),"")</f>
        <v/>
      </c>
      <c r="AV153" s="146" t="str">
        <f>IFERROR(_xlfn.IFNA(IF($BA153="No",0,IF(INDEX(Constants!G:G,MATCH(($I153/12),Constants!$A:$A,0))=0,0,INDEX(Constants!G:G,MATCH(($I153/12),Constants!$A:$A,0)))),0),"")</f>
        <v/>
      </c>
      <c r="AW153" s="146" t="str">
        <f>IFERROR(_xlfn.IFNA(IF($BA153="No",0,IF(INDEX(Constants!H:H,MATCH(($I153/12),Constants!$A:$A,0))=0,0,INDEX(Constants!H:H,MATCH(($I153/12),Constants!$A:$A,0)))),0),"")</f>
        <v/>
      </c>
      <c r="AX153" s="146" t="str">
        <f>IFERROR(_xlfn.IFNA(IF($BA153="No",0,IF(INDEX(Constants!I:I,MATCH(($I153/12),Constants!$A:$A,0))=0,0,INDEX(Constants!I:I,MATCH(($I153/12),Constants!$A:$A,0)))),0),"")</f>
        <v/>
      </c>
      <c r="AY153" s="146" t="str">
        <f>IFERROR(_xlfn.IFNA(IF($BA153="No",0,IF(INDEX(Constants!J:J,MATCH(($I153/12),Constants!$A:$A,0))=0,0,INDEX(Constants!J:J,MATCH(($I153/12),Constants!$A:$A,0)))),0),"")</f>
        <v/>
      </c>
      <c r="AZ153" s="146" t="str">
        <f>IFERROR(_xlfn.IFNA(IF($BA153="No",0,IF(INDEX(Constants!K:K,MATCH(($I153/12),Constants!$A:$A,0))=0,0,INDEX(Constants!K:K,MATCH(($I153/12),Constants!$A:$A,0)))),0),"")</f>
        <v/>
      </c>
      <c r="BA153" s="147" t="str">
        <f>_xlfn.IFNA(INDEX(Producer!$L:$L,MATCH($D153,Producer!$A:$A,0)),"")</f>
        <v/>
      </c>
      <c r="BB153" s="146" t="str">
        <f>IFERROR(IF(AQ153=0,"",IF(($I153/12)=15,_xlfn.CONCAT(Constants!$N$7,TEXT(DATE(YEAR(H153)-(($I153/12)-3),MONTH(H153),DAY(H153)),"dd/mm/yyyy"),", ",Constants!$P$7,TEXT(DATE(YEAR(H153)-(($I153/12)-8),MONTH(H153),DAY(H153)),"dd/mm/yyyy"),", ",Constants!$T$7,TEXT(DATE(YEAR(H153)-(($I153/12)-11),MONTH(H153),DAY(H153)),"dd/mm/yyyy"),", ",Constants!$V$7,TEXT(DATE(YEAR(H153)-(($I153/12)-13),MONTH(H153),DAY(H153)),"dd/mm/yyyy"),", ",Constants!$W$7,TEXT($H153,"dd/mm/yyyy")),IF(($I153/12)=10,_xlfn.CONCAT(Constants!$N$6,TEXT(DATE(YEAR(H153)-(($I153/12)-2),MONTH(H153),DAY(H153)),"dd/mm/yyyy"),", ",Constants!$P$6,TEXT(DATE(YEAR(H153)-(($I153/12)-6),MONTH(H153),DAY(H153)),"dd/mm/yyyy"),", ",Constants!$T$6,TEXT(DATE(YEAR(H153)-(($I153/12)-8),MONTH(H153),DAY(H153)),"dd/mm/yyyy"),", ",Constants!$V$6,TEXT(DATE(YEAR(H153)-(($I153/12)-9),MONTH(H153),DAY(H153)),"dd/mm/yyyy"),", ",Constants!$W$6,TEXT($H153,"dd/mm/yyyy")),IF(($I153/12)=5,_xlfn.CONCAT(Constants!$N$5,TEXT(DATE(YEAR(H153)-(($I153/12)-1),MONTH(H153),DAY(H153)),"dd/mm/yyyy"),", ",Constants!$O$5,TEXT(DATE(YEAR(H153)-(($I153/12)-2),MONTH(H153),DAY(H153)),"dd/mm/yyyy"),", ",Constants!$P$5,TEXT(DATE(YEAR(H153)-(($I153/12)-3),MONTH(H153),DAY(H153)),"dd/mm/yyyy"),", ",Constants!$Q$5,TEXT(DATE(YEAR(H153)-(($I153/12)-4),MONTH(H153),DAY(H153)),"dd/mm/yyyy"),", ",Constants!$R$5,TEXT($H153,"dd/mm/yyyy")),IF(($I153/12)=3,_xlfn.CONCAT(Constants!$N$4,TEXT(DATE(YEAR(H153)-(($I153/12)-1),MONTH(H153),DAY(H153)),"dd/mm/yyyy"),", ",Constants!$O$4,TEXT(DATE(YEAR(H153)-(($I153/12)-2),MONTH(H153),DAY(H153)),"dd/mm/yyyy"),", ",Constants!$P$4,TEXT($H153,"dd/mm/yyyy")),IF(($I153/12)=2,_xlfn.CONCAT(Constants!$N$3,TEXT(DATE(YEAR(H153)-(($I153/12)-1),MONTH(H153),DAY(H153)),"dd/mm/yyyy"),", ",Constants!$O$3,TEXT($H153,"dd/mm/yyyy")),IF(($I153/12)=1,_xlfn.CONCAT(Constants!$N$2,TEXT($H153,"dd/mm/yyyy")),"Update Constants"))))))),"")</f>
        <v/>
      </c>
      <c r="BC153" s="147" t="str">
        <f>_xlfn.IFNA(VALUE(INDEX(Producer!$K:$K,MATCH($D153,Producer!$A:$A,0))),"")</f>
        <v/>
      </c>
      <c r="BD153" s="147" t="str">
        <f>_xlfn.IFNA(INDEX(Producer!$I:$I,MATCH($D153,Producer!$A:$A,0)),"")</f>
        <v/>
      </c>
      <c r="BE153" s="147" t="str">
        <f t="shared" si="64"/>
        <v/>
      </c>
      <c r="BF153" s="147"/>
      <c r="BG153" s="147"/>
      <c r="BH153" s="151" t="str">
        <f>_xlfn.IFNA(INDEX(Constants!$B:$B,MATCH(BC153,Constants!A:A,0)),"")</f>
        <v/>
      </c>
      <c r="BI153" s="147" t="str">
        <f>IF(LEFT(B153,15)="Limited Company",Constants!$D$16,IFERROR(_xlfn.IFNA(IF(C153="Residential",IF(BK153&lt;75,INDEX(Constants!$B:$B,MATCH(VALUE(60)/100,Constants!$A:$A,0)),INDEX(Constants!$B:$B,MATCH(VALUE(BK153)/100,Constants!$A:$A,0))),IF(BK153&lt;60,INDEX(Constants!$C:$C,MATCH(VALUE(60)/100,Constants!$A:$A,0)),INDEX(Constants!$C:$C,MATCH(VALUE(BK153)/100,Constants!$A:$A,0)))),""),""))</f>
        <v/>
      </c>
      <c r="BJ153" s="147" t="str">
        <f t="shared" si="65"/>
        <v/>
      </c>
      <c r="BK153" s="147" t="str">
        <f>_xlfn.IFNA(VALUE(INDEX(Producer!$E:$E,MATCH($D153,Producer!$A:$A,0)))*100,"")</f>
        <v/>
      </c>
      <c r="BL153" s="146" t="str">
        <f>_xlfn.IFNA(IF(IFERROR(FIND("Part &amp; Part",B153),-10)&gt;0,"PP",IF(OR(LEFT(B153,25)="Residential Interest Only",INDEX(Producer!$P:$P,MATCH($D153,Producer!$A:$A,0))="IO",INDEX(Producer!$P:$P,MATCH($D153,Producer!$A:$A,0))="Retirement Interest Only"),"IO",IF($C153="BuyToLet","CI, IO","CI"))),"")</f>
        <v/>
      </c>
      <c r="BM153" s="152" t="str">
        <f>_xlfn.IFNA(IF(BL153="IO",100%,IF(AND(INDEX(Producer!$P:$P,MATCH($D153,Producer!$A:$A,0))="Residential Interest Only Part &amp; Part",BK153=75),80%,IF(C153="BuyToLet",100%,IF(BL153="Interest Only",100%,IF(AND(INDEX(Producer!$P:$P,MATCH($D153,Producer!$A:$A,0))="Residential Interest Only Part &amp; Part",BK153=60),100%,""))))),"")</f>
        <v/>
      </c>
      <c r="BN153" s="218" t="str">
        <f>_xlfn.IFNA(IF(VALUE(INDEX(Producer!$H:$H,MATCH($D153,Producer!$A:$A,0)))=0,"",VALUE(INDEX(Producer!$H:$H,MATCH($D153,Producer!$A:$A,0)))),"")</f>
        <v/>
      </c>
      <c r="BO153" s="153"/>
      <c r="BP153" s="153"/>
      <c r="BQ153" s="219" t="str">
        <f t="shared" si="66"/>
        <v/>
      </c>
      <c r="BR153" s="146"/>
      <c r="BS153" s="146"/>
      <c r="BT153" s="146"/>
      <c r="BU153" s="146"/>
      <c r="BV153" s="219" t="str">
        <f t="shared" si="67"/>
        <v/>
      </c>
      <c r="BW153" s="146"/>
      <c r="BX153" s="146"/>
      <c r="BY153" s="146" t="str">
        <f t="shared" si="68"/>
        <v/>
      </c>
      <c r="BZ153" s="146" t="str">
        <f t="shared" si="69"/>
        <v/>
      </c>
      <c r="CA153" s="146" t="str">
        <f t="shared" si="70"/>
        <v/>
      </c>
      <c r="CB153" s="146" t="str">
        <f t="shared" si="71"/>
        <v/>
      </c>
      <c r="CC153" s="146" t="str">
        <f>_xlfn.IFNA(IF(INDEX(Producer!$P:$P,MATCH($D153,Producer!$A:$A,0))="Help to Buy","Only available","No"),"")</f>
        <v/>
      </c>
      <c r="CD153" s="146" t="str">
        <f>_xlfn.IFNA(IF(INDEX(Producer!$P:$P,MATCH($D153,Producer!$A:$A,0))="Shared Ownership","Only available","No"),"")</f>
        <v/>
      </c>
      <c r="CE153" s="146" t="str">
        <f>_xlfn.IFNA(IF(INDEX(Producer!$P:$P,MATCH($D153,Producer!$A:$A,0))="Right to Buy","Only available","No"),"")</f>
        <v/>
      </c>
      <c r="CF153" s="146" t="str">
        <f t="shared" si="72"/>
        <v/>
      </c>
      <c r="CG153" s="146" t="str">
        <f>_xlfn.IFNA(IF(INDEX(Producer!$P:$P,MATCH($D153,Producer!$A:$A,0))="Retirement Interest Only","Only available","No"),"")</f>
        <v/>
      </c>
      <c r="CH153" s="146" t="str">
        <f t="shared" si="73"/>
        <v/>
      </c>
      <c r="CI153" s="146" t="str">
        <f>_xlfn.IFNA(IF(INDEX(Producer!$P:$P,MATCH($D153,Producer!$A:$A,0))="Intermediary Holiday Let","Only available","No"),"")</f>
        <v/>
      </c>
      <c r="CJ153" s="146" t="str">
        <f t="shared" si="74"/>
        <v/>
      </c>
      <c r="CK153" s="146" t="str">
        <f>_xlfn.IFNA(IF(OR(INDEX(Producer!$P:$P,MATCH($D153,Producer!$A:$A,0))="Intermediary Small HMO",INDEX(Producer!$P:$P,MATCH($D153,Producer!$A:$A,0))="Intermediary Large HMO"),"Only available","No"),"")</f>
        <v/>
      </c>
      <c r="CL153" s="146" t="str">
        <f t="shared" si="75"/>
        <v/>
      </c>
      <c r="CM153" s="146" t="str">
        <f t="shared" si="76"/>
        <v/>
      </c>
      <c r="CN153" s="146" t="str">
        <f t="shared" si="77"/>
        <v/>
      </c>
      <c r="CO153" s="146" t="str">
        <f t="shared" si="78"/>
        <v/>
      </c>
      <c r="CP153" s="146" t="str">
        <f t="shared" si="79"/>
        <v/>
      </c>
      <c r="CQ153" s="146" t="str">
        <f t="shared" si="80"/>
        <v/>
      </c>
      <c r="CR153" s="146" t="str">
        <f t="shared" si="81"/>
        <v/>
      </c>
      <c r="CS153" s="146" t="str">
        <f t="shared" si="82"/>
        <v/>
      </c>
      <c r="CT153" s="146" t="str">
        <f t="shared" si="83"/>
        <v/>
      </c>
      <c r="CU153" s="146"/>
    </row>
    <row r="154" spans="1:99" ht="16.399999999999999" customHeight="1" x14ac:dyDescent="0.35">
      <c r="A154" s="145" t="str">
        <f t="shared" si="56"/>
        <v/>
      </c>
      <c r="B154" s="145" t="str">
        <f>_xlfn.IFNA(_xlfn.CONCAT(INDEX(Producer!$P:$P,MATCH($D154,Producer!$A:$A,0))," ",IF(INDEX(Producer!$N:$N,MATCH($D154,Producer!$A:$A,0))="Yes","Green ",""),IF(AND(INDEX(Producer!$L:$L,MATCH($D154,Producer!$A:$A,0))="No",INDEX(Producer!$C:$C,MATCH($D154,Producer!$A:$A,0))="Fixed"),"Flexit ",""),INDEX(Producer!$B:$B,MATCH($D154,Producer!$A:$A,0))," Year ",INDEX(Producer!$C:$C,MATCH($D154,Producer!$A:$A,0))," ",VALUE(INDEX(Producer!$E:$E,MATCH($D154,Producer!$A:$A,0)))*100,"% LTV",IF(INDEX(Producer!$N:$N,MATCH($D154,Producer!$A:$A,0))="Yes"," (EPC A-C)","")," - ",IF(INDEX(Producer!$D:$D,MATCH($D154,Producer!$A:$A,0))="DLY","Daily","Annual")),"")</f>
        <v/>
      </c>
      <c r="C154" s="146" t="str">
        <f>_xlfn.IFNA(INDEX(Producer!$Q:$Q,MATCH($D154,Producer!$A:$A,0)),"")</f>
        <v/>
      </c>
      <c r="D154" s="146" t="str">
        <f>IFERROR(VALUE(MID(Producer!$R$2,IF($D153="",1/0,FIND(_xlfn.CONCAT($D152,$D153),Producer!$R$2)+10),5)),"")</f>
        <v/>
      </c>
      <c r="E154" s="146" t="str">
        <f t="shared" si="57"/>
        <v/>
      </c>
      <c r="F154" s="146"/>
      <c r="G154" s="147" t="str">
        <f>_xlfn.IFNA(VALUE(INDEX(Producer!$F:$F,MATCH($D154,Producer!$A:$A,0)))*100,"")</f>
        <v/>
      </c>
      <c r="H154" s="216" t="str">
        <f>_xlfn.IFNA(IFERROR(DATEVALUE(INDEX(Producer!$M:$M,MATCH($D154,Producer!$A:$A,0))),(INDEX(Producer!$M:$M,MATCH($D154,Producer!$A:$A,0)))),"")</f>
        <v/>
      </c>
      <c r="I154" s="217" t="str">
        <f>_xlfn.IFNA(VALUE(INDEX(Producer!$B:$B,MATCH($D154,Producer!$A:$A,0)))*12,"")</f>
        <v/>
      </c>
      <c r="J154" s="146" t="str">
        <f>_xlfn.IFNA(IF(C154="Residential",IF(VALUE(INDEX(Producer!$B:$B,MATCH($D154,Producer!$A:$A,0)))&lt;5,Constants!$C$10,""),IF(VALUE(INDEX(Producer!$B:$B,MATCH($D154,Producer!$A:$A,0)))&lt;5,Constants!$C$11,"")),"")</f>
        <v/>
      </c>
      <c r="K154" s="216" t="str">
        <f>_xlfn.IFNA(IF(($I154)&lt;60,DATE(YEAR(H154)+(5-VALUE(INDEX(Producer!$B:$B,MATCH($D154,Producer!$A:$A,0)))),MONTH(H154),DAY(H154)),""),"")</f>
        <v/>
      </c>
      <c r="L154" s="153" t="str">
        <f t="shared" si="58"/>
        <v/>
      </c>
      <c r="M154" s="146"/>
      <c r="N154" s="148"/>
      <c r="O154" s="148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 t="str">
        <f>IF(D154="","",IF(C154="Residential",Constants!$B$10,Constants!$B$11))</f>
        <v/>
      </c>
      <c r="AL154" s="146" t="str">
        <f t="shared" si="59"/>
        <v/>
      </c>
      <c r="AM154" s="206" t="str">
        <f t="shared" si="60"/>
        <v/>
      </c>
      <c r="AN154" s="146" t="str">
        <f t="shared" si="61"/>
        <v/>
      </c>
      <c r="AO154" s="149" t="str">
        <f t="shared" si="62"/>
        <v/>
      </c>
      <c r="AP154" s="150" t="str">
        <f t="shared" si="63"/>
        <v/>
      </c>
      <c r="AQ154" s="146" t="str">
        <f>IFERROR(_xlfn.IFNA(IF($BA154="No",0,IF(INDEX(Constants!B:B,MATCH(($I154/12),Constants!$A:$A,0))=0,0,INDEX(Constants!B:B,MATCH(($I154/12),Constants!$A:$A,0)))),0),"")</f>
        <v/>
      </c>
      <c r="AR154" s="146" t="str">
        <f>IFERROR(_xlfn.IFNA(IF($BA154="No",0,IF(INDEX(Constants!C:C,MATCH(($I154/12),Constants!$A:$A,0))=0,0,INDEX(Constants!C:C,MATCH(($I154/12),Constants!$A:$A,0)))),0),"")</f>
        <v/>
      </c>
      <c r="AS154" s="146" t="str">
        <f>IFERROR(_xlfn.IFNA(IF($BA154="No",0,IF(INDEX(Constants!D:D,MATCH(($I154/12),Constants!$A:$A,0))=0,0,INDEX(Constants!D:D,MATCH(($I154/12),Constants!$A:$A,0)))),0),"")</f>
        <v/>
      </c>
      <c r="AT154" s="146" t="str">
        <f>IFERROR(_xlfn.IFNA(IF($BA154="No",0,IF(INDEX(Constants!E:E,MATCH(($I154/12),Constants!$A:$A,0))=0,0,INDEX(Constants!E:E,MATCH(($I154/12),Constants!$A:$A,0)))),0),"")</f>
        <v/>
      </c>
      <c r="AU154" s="146" t="str">
        <f>IFERROR(_xlfn.IFNA(IF($BA154="No",0,IF(INDEX(Constants!F:F,MATCH(($I154/12),Constants!$A:$A,0))=0,0,INDEX(Constants!F:F,MATCH(($I154/12),Constants!$A:$A,0)))),0),"")</f>
        <v/>
      </c>
      <c r="AV154" s="146" t="str">
        <f>IFERROR(_xlfn.IFNA(IF($BA154="No",0,IF(INDEX(Constants!G:G,MATCH(($I154/12),Constants!$A:$A,0))=0,0,INDEX(Constants!G:G,MATCH(($I154/12),Constants!$A:$A,0)))),0),"")</f>
        <v/>
      </c>
      <c r="AW154" s="146" t="str">
        <f>IFERROR(_xlfn.IFNA(IF($BA154="No",0,IF(INDEX(Constants!H:H,MATCH(($I154/12),Constants!$A:$A,0))=0,0,INDEX(Constants!H:H,MATCH(($I154/12),Constants!$A:$A,0)))),0),"")</f>
        <v/>
      </c>
      <c r="AX154" s="146" t="str">
        <f>IFERROR(_xlfn.IFNA(IF($BA154="No",0,IF(INDEX(Constants!I:I,MATCH(($I154/12),Constants!$A:$A,0))=0,0,INDEX(Constants!I:I,MATCH(($I154/12),Constants!$A:$A,0)))),0),"")</f>
        <v/>
      </c>
      <c r="AY154" s="146" t="str">
        <f>IFERROR(_xlfn.IFNA(IF($BA154="No",0,IF(INDEX(Constants!J:J,MATCH(($I154/12),Constants!$A:$A,0))=0,0,INDEX(Constants!J:J,MATCH(($I154/12),Constants!$A:$A,0)))),0),"")</f>
        <v/>
      </c>
      <c r="AZ154" s="146" t="str">
        <f>IFERROR(_xlfn.IFNA(IF($BA154="No",0,IF(INDEX(Constants!K:K,MATCH(($I154/12),Constants!$A:$A,0))=0,0,INDEX(Constants!K:K,MATCH(($I154/12),Constants!$A:$A,0)))),0),"")</f>
        <v/>
      </c>
      <c r="BA154" s="147" t="str">
        <f>_xlfn.IFNA(INDEX(Producer!$L:$L,MATCH($D154,Producer!$A:$A,0)),"")</f>
        <v/>
      </c>
      <c r="BB154" s="146" t="str">
        <f>IFERROR(IF(AQ154=0,"",IF(($I154/12)=15,_xlfn.CONCAT(Constants!$N$7,TEXT(DATE(YEAR(H154)-(($I154/12)-3),MONTH(H154),DAY(H154)),"dd/mm/yyyy"),", ",Constants!$P$7,TEXT(DATE(YEAR(H154)-(($I154/12)-8),MONTH(H154),DAY(H154)),"dd/mm/yyyy"),", ",Constants!$T$7,TEXT(DATE(YEAR(H154)-(($I154/12)-11),MONTH(H154),DAY(H154)),"dd/mm/yyyy"),", ",Constants!$V$7,TEXT(DATE(YEAR(H154)-(($I154/12)-13),MONTH(H154),DAY(H154)),"dd/mm/yyyy"),", ",Constants!$W$7,TEXT($H154,"dd/mm/yyyy")),IF(($I154/12)=10,_xlfn.CONCAT(Constants!$N$6,TEXT(DATE(YEAR(H154)-(($I154/12)-2),MONTH(H154),DAY(H154)),"dd/mm/yyyy"),", ",Constants!$P$6,TEXT(DATE(YEAR(H154)-(($I154/12)-6),MONTH(H154),DAY(H154)),"dd/mm/yyyy"),", ",Constants!$T$6,TEXT(DATE(YEAR(H154)-(($I154/12)-8),MONTH(H154),DAY(H154)),"dd/mm/yyyy"),", ",Constants!$V$6,TEXT(DATE(YEAR(H154)-(($I154/12)-9),MONTH(H154),DAY(H154)),"dd/mm/yyyy"),", ",Constants!$W$6,TEXT($H154,"dd/mm/yyyy")),IF(($I154/12)=5,_xlfn.CONCAT(Constants!$N$5,TEXT(DATE(YEAR(H154)-(($I154/12)-1),MONTH(H154),DAY(H154)),"dd/mm/yyyy"),", ",Constants!$O$5,TEXT(DATE(YEAR(H154)-(($I154/12)-2),MONTH(H154),DAY(H154)),"dd/mm/yyyy"),", ",Constants!$P$5,TEXT(DATE(YEAR(H154)-(($I154/12)-3),MONTH(H154),DAY(H154)),"dd/mm/yyyy"),", ",Constants!$Q$5,TEXT(DATE(YEAR(H154)-(($I154/12)-4),MONTH(H154),DAY(H154)),"dd/mm/yyyy"),", ",Constants!$R$5,TEXT($H154,"dd/mm/yyyy")),IF(($I154/12)=3,_xlfn.CONCAT(Constants!$N$4,TEXT(DATE(YEAR(H154)-(($I154/12)-1),MONTH(H154),DAY(H154)),"dd/mm/yyyy"),", ",Constants!$O$4,TEXT(DATE(YEAR(H154)-(($I154/12)-2),MONTH(H154),DAY(H154)),"dd/mm/yyyy"),", ",Constants!$P$4,TEXT($H154,"dd/mm/yyyy")),IF(($I154/12)=2,_xlfn.CONCAT(Constants!$N$3,TEXT(DATE(YEAR(H154)-(($I154/12)-1),MONTH(H154),DAY(H154)),"dd/mm/yyyy"),", ",Constants!$O$3,TEXT($H154,"dd/mm/yyyy")),IF(($I154/12)=1,_xlfn.CONCAT(Constants!$N$2,TEXT($H154,"dd/mm/yyyy")),"Update Constants"))))))),"")</f>
        <v/>
      </c>
      <c r="BC154" s="147" t="str">
        <f>_xlfn.IFNA(VALUE(INDEX(Producer!$K:$K,MATCH($D154,Producer!$A:$A,0))),"")</f>
        <v/>
      </c>
      <c r="BD154" s="147" t="str">
        <f>_xlfn.IFNA(INDEX(Producer!$I:$I,MATCH($D154,Producer!$A:$A,0)),"")</f>
        <v/>
      </c>
      <c r="BE154" s="147" t="str">
        <f t="shared" si="64"/>
        <v/>
      </c>
      <c r="BF154" s="147"/>
      <c r="BG154" s="147"/>
      <c r="BH154" s="151" t="str">
        <f>_xlfn.IFNA(INDEX(Constants!$B:$B,MATCH(BC154,Constants!A:A,0)),"")</f>
        <v/>
      </c>
      <c r="BI154" s="147" t="str">
        <f>IF(LEFT(B154,15)="Limited Company",Constants!$D$16,IFERROR(_xlfn.IFNA(IF(C154="Residential",IF(BK154&lt;75,INDEX(Constants!$B:$B,MATCH(VALUE(60)/100,Constants!$A:$A,0)),INDEX(Constants!$B:$B,MATCH(VALUE(BK154)/100,Constants!$A:$A,0))),IF(BK154&lt;60,INDEX(Constants!$C:$C,MATCH(VALUE(60)/100,Constants!$A:$A,0)),INDEX(Constants!$C:$C,MATCH(VALUE(BK154)/100,Constants!$A:$A,0)))),""),""))</f>
        <v/>
      </c>
      <c r="BJ154" s="147" t="str">
        <f t="shared" si="65"/>
        <v/>
      </c>
      <c r="BK154" s="147" t="str">
        <f>_xlfn.IFNA(VALUE(INDEX(Producer!$E:$E,MATCH($D154,Producer!$A:$A,0)))*100,"")</f>
        <v/>
      </c>
      <c r="BL154" s="146" t="str">
        <f>_xlfn.IFNA(IF(IFERROR(FIND("Part &amp; Part",B154),-10)&gt;0,"PP",IF(OR(LEFT(B154,25)="Residential Interest Only",INDEX(Producer!$P:$P,MATCH($D154,Producer!$A:$A,0))="IO",INDEX(Producer!$P:$P,MATCH($D154,Producer!$A:$A,0))="Retirement Interest Only"),"IO",IF($C154="BuyToLet","CI, IO","CI"))),"")</f>
        <v/>
      </c>
      <c r="BM154" s="152" t="str">
        <f>_xlfn.IFNA(IF(BL154="IO",100%,IF(AND(INDEX(Producer!$P:$P,MATCH($D154,Producer!$A:$A,0))="Residential Interest Only Part &amp; Part",BK154=75),80%,IF(C154="BuyToLet",100%,IF(BL154="Interest Only",100%,IF(AND(INDEX(Producer!$P:$P,MATCH($D154,Producer!$A:$A,0))="Residential Interest Only Part &amp; Part",BK154=60),100%,""))))),"")</f>
        <v/>
      </c>
      <c r="BN154" s="218" t="str">
        <f>_xlfn.IFNA(IF(VALUE(INDEX(Producer!$H:$H,MATCH($D154,Producer!$A:$A,0)))=0,"",VALUE(INDEX(Producer!$H:$H,MATCH($D154,Producer!$A:$A,0)))),"")</f>
        <v/>
      </c>
      <c r="BO154" s="153"/>
      <c r="BP154" s="153"/>
      <c r="BQ154" s="219" t="str">
        <f t="shared" si="66"/>
        <v/>
      </c>
      <c r="BR154" s="146"/>
      <c r="BS154" s="146"/>
      <c r="BT154" s="146"/>
      <c r="BU154" s="146"/>
      <c r="BV154" s="219" t="str">
        <f t="shared" si="67"/>
        <v/>
      </c>
      <c r="BW154" s="146"/>
      <c r="BX154" s="146"/>
      <c r="BY154" s="146" t="str">
        <f t="shared" si="68"/>
        <v/>
      </c>
      <c r="BZ154" s="146" t="str">
        <f t="shared" si="69"/>
        <v/>
      </c>
      <c r="CA154" s="146" t="str">
        <f t="shared" si="70"/>
        <v/>
      </c>
      <c r="CB154" s="146" t="str">
        <f t="shared" si="71"/>
        <v/>
      </c>
      <c r="CC154" s="146" t="str">
        <f>_xlfn.IFNA(IF(INDEX(Producer!$P:$P,MATCH($D154,Producer!$A:$A,0))="Help to Buy","Only available","No"),"")</f>
        <v/>
      </c>
      <c r="CD154" s="146" t="str">
        <f>_xlfn.IFNA(IF(INDEX(Producer!$P:$P,MATCH($D154,Producer!$A:$A,0))="Shared Ownership","Only available","No"),"")</f>
        <v/>
      </c>
      <c r="CE154" s="146" t="str">
        <f>_xlfn.IFNA(IF(INDEX(Producer!$P:$P,MATCH($D154,Producer!$A:$A,0))="Right to Buy","Only available","No"),"")</f>
        <v/>
      </c>
      <c r="CF154" s="146" t="str">
        <f t="shared" si="72"/>
        <v/>
      </c>
      <c r="CG154" s="146" t="str">
        <f>_xlfn.IFNA(IF(INDEX(Producer!$P:$P,MATCH($D154,Producer!$A:$A,0))="Retirement Interest Only","Only available","No"),"")</f>
        <v/>
      </c>
      <c r="CH154" s="146" t="str">
        <f t="shared" si="73"/>
        <v/>
      </c>
      <c r="CI154" s="146" t="str">
        <f>_xlfn.IFNA(IF(INDEX(Producer!$P:$P,MATCH($D154,Producer!$A:$A,0))="Intermediary Holiday Let","Only available","No"),"")</f>
        <v/>
      </c>
      <c r="CJ154" s="146" t="str">
        <f t="shared" si="74"/>
        <v/>
      </c>
      <c r="CK154" s="146" t="str">
        <f>_xlfn.IFNA(IF(OR(INDEX(Producer!$P:$P,MATCH($D154,Producer!$A:$A,0))="Intermediary Small HMO",INDEX(Producer!$P:$P,MATCH($D154,Producer!$A:$A,0))="Intermediary Large HMO"),"Only available","No"),"")</f>
        <v/>
      </c>
      <c r="CL154" s="146" t="str">
        <f t="shared" si="75"/>
        <v/>
      </c>
      <c r="CM154" s="146" t="str">
        <f t="shared" si="76"/>
        <v/>
      </c>
      <c r="CN154" s="146" t="str">
        <f t="shared" si="77"/>
        <v/>
      </c>
      <c r="CO154" s="146" t="str">
        <f t="shared" si="78"/>
        <v/>
      </c>
      <c r="CP154" s="146" t="str">
        <f t="shared" si="79"/>
        <v/>
      </c>
      <c r="CQ154" s="146" t="str">
        <f t="shared" si="80"/>
        <v/>
      </c>
      <c r="CR154" s="146" t="str">
        <f t="shared" si="81"/>
        <v/>
      </c>
      <c r="CS154" s="146" t="str">
        <f t="shared" si="82"/>
        <v/>
      </c>
      <c r="CT154" s="146" t="str">
        <f t="shared" si="83"/>
        <v/>
      </c>
      <c r="CU154" s="146"/>
    </row>
    <row r="155" spans="1:99" ht="16.399999999999999" customHeight="1" x14ac:dyDescent="0.35">
      <c r="A155" s="145" t="str">
        <f t="shared" si="56"/>
        <v/>
      </c>
      <c r="B155" s="145" t="str">
        <f>_xlfn.IFNA(_xlfn.CONCAT(INDEX(Producer!$P:$P,MATCH($D155,Producer!$A:$A,0))," ",IF(INDEX(Producer!$N:$N,MATCH($D155,Producer!$A:$A,0))="Yes","Green ",""),IF(AND(INDEX(Producer!$L:$L,MATCH($D155,Producer!$A:$A,0))="No",INDEX(Producer!$C:$C,MATCH($D155,Producer!$A:$A,0))="Fixed"),"Flexit ",""),INDEX(Producer!$B:$B,MATCH($D155,Producer!$A:$A,0))," Year ",INDEX(Producer!$C:$C,MATCH($D155,Producer!$A:$A,0))," ",VALUE(INDEX(Producer!$E:$E,MATCH($D155,Producer!$A:$A,0)))*100,"% LTV",IF(INDEX(Producer!$N:$N,MATCH($D155,Producer!$A:$A,0))="Yes"," (EPC A-C)","")," - ",IF(INDEX(Producer!$D:$D,MATCH($D155,Producer!$A:$A,0))="DLY","Daily","Annual")),"")</f>
        <v/>
      </c>
      <c r="C155" s="146" t="str">
        <f>_xlfn.IFNA(INDEX(Producer!$Q:$Q,MATCH($D155,Producer!$A:$A,0)),"")</f>
        <v/>
      </c>
      <c r="D155" s="146" t="str">
        <f>IFERROR(VALUE(MID(Producer!$R$2,IF($D154="",1/0,FIND(_xlfn.CONCAT($D153,$D154),Producer!$R$2)+10),5)),"")</f>
        <v/>
      </c>
      <c r="E155" s="146" t="str">
        <f t="shared" si="57"/>
        <v/>
      </c>
      <c r="F155" s="146"/>
      <c r="G155" s="147" t="str">
        <f>_xlfn.IFNA(VALUE(INDEX(Producer!$F:$F,MATCH($D155,Producer!$A:$A,0)))*100,"")</f>
        <v/>
      </c>
      <c r="H155" s="216" t="str">
        <f>_xlfn.IFNA(IFERROR(DATEVALUE(INDEX(Producer!$M:$M,MATCH($D155,Producer!$A:$A,0))),(INDEX(Producer!$M:$M,MATCH($D155,Producer!$A:$A,0)))),"")</f>
        <v/>
      </c>
      <c r="I155" s="217" t="str">
        <f>_xlfn.IFNA(VALUE(INDEX(Producer!$B:$B,MATCH($D155,Producer!$A:$A,0)))*12,"")</f>
        <v/>
      </c>
      <c r="J155" s="146" t="str">
        <f>_xlfn.IFNA(IF(C155="Residential",IF(VALUE(INDEX(Producer!$B:$B,MATCH($D155,Producer!$A:$A,0)))&lt;5,Constants!$C$10,""),IF(VALUE(INDEX(Producer!$B:$B,MATCH($D155,Producer!$A:$A,0)))&lt;5,Constants!$C$11,"")),"")</f>
        <v/>
      </c>
      <c r="K155" s="216" t="str">
        <f>_xlfn.IFNA(IF(($I155)&lt;60,DATE(YEAR(H155)+(5-VALUE(INDEX(Producer!$B:$B,MATCH($D155,Producer!$A:$A,0)))),MONTH(H155),DAY(H155)),""),"")</f>
        <v/>
      </c>
      <c r="L155" s="153" t="str">
        <f t="shared" si="58"/>
        <v/>
      </c>
      <c r="M155" s="146"/>
      <c r="N155" s="148"/>
      <c r="O155" s="148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 t="str">
        <f>IF(D155="","",IF(C155="Residential",Constants!$B$10,Constants!$B$11))</f>
        <v/>
      </c>
      <c r="AL155" s="146" t="str">
        <f t="shared" si="59"/>
        <v/>
      </c>
      <c r="AM155" s="206" t="str">
        <f t="shared" si="60"/>
        <v/>
      </c>
      <c r="AN155" s="146" t="str">
        <f t="shared" si="61"/>
        <v/>
      </c>
      <c r="AO155" s="149" t="str">
        <f t="shared" si="62"/>
        <v/>
      </c>
      <c r="AP155" s="150" t="str">
        <f t="shared" si="63"/>
        <v/>
      </c>
      <c r="AQ155" s="146" t="str">
        <f>IFERROR(_xlfn.IFNA(IF($BA155="No",0,IF(INDEX(Constants!B:B,MATCH(($I155/12),Constants!$A:$A,0))=0,0,INDEX(Constants!B:B,MATCH(($I155/12),Constants!$A:$A,0)))),0),"")</f>
        <v/>
      </c>
      <c r="AR155" s="146" t="str">
        <f>IFERROR(_xlfn.IFNA(IF($BA155="No",0,IF(INDEX(Constants!C:C,MATCH(($I155/12),Constants!$A:$A,0))=0,0,INDEX(Constants!C:C,MATCH(($I155/12),Constants!$A:$A,0)))),0),"")</f>
        <v/>
      </c>
      <c r="AS155" s="146" t="str">
        <f>IFERROR(_xlfn.IFNA(IF($BA155="No",0,IF(INDEX(Constants!D:D,MATCH(($I155/12),Constants!$A:$A,0))=0,0,INDEX(Constants!D:D,MATCH(($I155/12),Constants!$A:$A,0)))),0),"")</f>
        <v/>
      </c>
      <c r="AT155" s="146" t="str">
        <f>IFERROR(_xlfn.IFNA(IF($BA155="No",0,IF(INDEX(Constants!E:E,MATCH(($I155/12),Constants!$A:$A,0))=0,0,INDEX(Constants!E:E,MATCH(($I155/12),Constants!$A:$A,0)))),0),"")</f>
        <v/>
      </c>
      <c r="AU155" s="146" t="str">
        <f>IFERROR(_xlfn.IFNA(IF($BA155="No",0,IF(INDEX(Constants!F:F,MATCH(($I155/12),Constants!$A:$A,0))=0,0,INDEX(Constants!F:F,MATCH(($I155/12),Constants!$A:$A,0)))),0),"")</f>
        <v/>
      </c>
      <c r="AV155" s="146" t="str">
        <f>IFERROR(_xlfn.IFNA(IF($BA155="No",0,IF(INDEX(Constants!G:G,MATCH(($I155/12),Constants!$A:$A,0))=0,0,INDEX(Constants!G:G,MATCH(($I155/12),Constants!$A:$A,0)))),0),"")</f>
        <v/>
      </c>
      <c r="AW155" s="146" t="str">
        <f>IFERROR(_xlfn.IFNA(IF($BA155="No",0,IF(INDEX(Constants!H:H,MATCH(($I155/12),Constants!$A:$A,0))=0,0,INDEX(Constants!H:H,MATCH(($I155/12),Constants!$A:$A,0)))),0),"")</f>
        <v/>
      </c>
      <c r="AX155" s="146" t="str">
        <f>IFERROR(_xlfn.IFNA(IF($BA155="No",0,IF(INDEX(Constants!I:I,MATCH(($I155/12),Constants!$A:$A,0))=0,0,INDEX(Constants!I:I,MATCH(($I155/12),Constants!$A:$A,0)))),0),"")</f>
        <v/>
      </c>
      <c r="AY155" s="146" t="str">
        <f>IFERROR(_xlfn.IFNA(IF($BA155="No",0,IF(INDEX(Constants!J:J,MATCH(($I155/12),Constants!$A:$A,0))=0,0,INDEX(Constants!J:J,MATCH(($I155/12),Constants!$A:$A,0)))),0),"")</f>
        <v/>
      </c>
      <c r="AZ155" s="146" t="str">
        <f>IFERROR(_xlfn.IFNA(IF($BA155="No",0,IF(INDEX(Constants!K:K,MATCH(($I155/12),Constants!$A:$A,0))=0,0,INDEX(Constants!K:K,MATCH(($I155/12),Constants!$A:$A,0)))),0),"")</f>
        <v/>
      </c>
      <c r="BA155" s="147" t="str">
        <f>_xlfn.IFNA(INDEX(Producer!$L:$L,MATCH($D155,Producer!$A:$A,0)),"")</f>
        <v/>
      </c>
      <c r="BB155" s="146" t="str">
        <f>IFERROR(IF(AQ155=0,"",IF(($I155/12)=15,_xlfn.CONCAT(Constants!$N$7,TEXT(DATE(YEAR(H155)-(($I155/12)-3),MONTH(H155),DAY(H155)),"dd/mm/yyyy"),", ",Constants!$P$7,TEXT(DATE(YEAR(H155)-(($I155/12)-8),MONTH(H155),DAY(H155)),"dd/mm/yyyy"),", ",Constants!$T$7,TEXT(DATE(YEAR(H155)-(($I155/12)-11),MONTH(H155),DAY(H155)),"dd/mm/yyyy"),", ",Constants!$V$7,TEXT(DATE(YEAR(H155)-(($I155/12)-13),MONTH(H155),DAY(H155)),"dd/mm/yyyy"),", ",Constants!$W$7,TEXT($H155,"dd/mm/yyyy")),IF(($I155/12)=10,_xlfn.CONCAT(Constants!$N$6,TEXT(DATE(YEAR(H155)-(($I155/12)-2),MONTH(H155),DAY(H155)),"dd/mm/yyyy"),", ",Constants!$P$6,TEXT(DATE(YEAR(H155)-(($I155/12)-6),MONTH(H155),DAY(H155)),"dd/mm/yyyy"),", ",Constants!$T$6,TEXT(DATE(YEAR(H155)-(($I155/12)-8),MONTH(H155),DAY(H155)),"dd/mm/yyyy"),", ",Constants!$V$6,TEXT(DATE(YEAR(H155)-(($I155/12)-9),MONTH(H155),DAY(H155)),"dd/mm/yyyy"),", ",Constants!$W$6,TEXT($H155,"dd/mm/yyyy")),IF(($I155/12)=5,_xlfn.CONCAT(Constants!$N$5,TEXT(DATE(YEAR(H155)-(($I155/12)-1),MONTH(H155),DAY(H155)),"dd/mm/yyyy"),", ",Constants!$O$5,TEXT(DATE(YEAR(H155)-(($I155/12)-2),MONTH(H155),DAY(H155)),"dd/mm/yyyy"),", ",Constants!$P$5,TEXT(DATE(YEAR(H155)-(($I155/12)-3),MONTH(H155),DAY(H155)),"dd/mm/yyyy"),", ",Constants!$Q$5,TEXT(DATE(YEAR(H155)-(($I155/12)-4),MONTH(H155),DAY(H155)),"dd/mm/yyyy"),", ",Constants!$R$5,TEXT($H155,"dd/mm/yyyy")),IF(($I155/12)=3,_xlfn.CONCAT(Constants!$N$4,TEXT(DATE(YEAR(H155)-(($I155/12)-1),MONTH(H155),DAY(H155)),"dd/mm/yyyy"),", ",Constants!$O$4,TEXT(DATE(YEAR(H155)-(($I155/12)-2),MONTH(H155),DAY(H155)),"dd/mm/yyyy"),", ",Constants!$P$4,TEXT($H155,"dd/mm/yyyy")),IF(($I155/12)=2,_xlfn.CONCAT(Constants!$N$3,TEXT(DATE(YEAR(H155)-(($I155/12)-1),MONTH(H155),DAY(H155)),"dd/mm/yyyy"),", ",Constants!$O$3,TEXT($H155,"dd/mm/yyyy")),IF(($I155/12)=1,_xlfn.CONCAT(Constants!$N$2,TEXT($H155,"dd/mm/yyyy")),"Update Constants"))))))),"")</f>
        <v/>
      </c>
      <c r="BC155" s="147" t="str">
        <f>_xlfn.IFNA(VALUE(INDEX(Producer!$K:$K,MATCH($D155,Producer!$A:$A,0))),"")</f>
        <v/>
      </c>
      <c r="BD155" s="147" t="str">
        <f>_xlfn.IFNA(INDEX(Producer!$I:$I,MATCH($D155,Producer!$A:$A,0)),"")</f>
        <v/>
      </c>
      <c r="BE155" s="147" t="str">
        <f t="shared" si="64"/>
        <v/>
      </c>
      <c r="BF155" s="147"/>
      <c r="BG155" s="147"/>
      <c r="BH155" s="151" t="str">
        <f>_xlfn.IFNA(INDEX(Constants!$B:$B,MATCH(BC155,Constants!A:A,0)),"")</f>
        <v/>
      </c>
      <c r="BI155" s="147" t="str">
        <f>IF(LEFT(B155,15)="Limited Company",Constants!$D$16,IFERROR(_xlfn.IFNA(IF(C155="Residential",IF(BK155&lt;75,INDEX(Constants!$B:$B,MATCH(VALUE(60)/100,Constants!$A:$A,0)),INDEX(Constants!$B:$B,MATCH(VALUE(BK155)/100,Constants!$A:$A,0))),IF(BK155&lt;60,INDEX(Constants!$C:$C,MATCH(VALUE(60)/100,Constants!$A:$A,0)),INDEX(Constants!$C:$C,MATCH(VALUE(BK155)/100,Constants!$A:$A,0)))),""),""))</f>
        <v/>
      </c>
      <c r="BJ155" s="147" t="str">
        <f t="shared" si="65"/>
        <v/>
      </c>
      <c r="BK155" s="147" t="str">
        <f>_xlfn.IFNA(VALUE(INDEX(Producer!$E:$E,MATCH($D155,Producer!$A:$A,0)))*100,"")</f>
        <v/>
      </c>
      <c r="BL155" s="146" t="str">
        <f>_xlfn.IFNA(IF(IFERROR(FIND("Part &amp; Part",B155),-10)&gt;0,"PP",IF(OR(LEFT(B155,25)="Residential Interest Only",INDEX(Producer!$P:$P,MATCH($D155,Producer!$A:$A,0))="IO",INDEX(Producer!$P:$P,MATCH($D155,Producer!$A:$A,0))="Retirement Interest Only"),"IO",IF($C155="BuyToLet","CI, IO","CI"))),"")</f>
        <v/>
      </c>
      <c r="BM155" s="152" t="str">
        <f>_xlfn.IFNA(IF(BL155="IO",100%,IF(AND(INDEX(Producer!$P:$P,MATCH($D155,Producer!$A:$A,0))="Residential Interest Only Part &amp; Part",BK155=75),80%,IF(C155="BuyToLet",100%,IF(BL155="Interest Only",100%,IF(AND(INDEX(Producer!$P:$P,MATCH($D155,Producer!$A:$A,0))="Residential Interest Only Part &amp; Part",BK155=60),100%,""))))),"")</f>
        <v/>
      </c>
      <c r="BN155" s="218" t="str">
        <f>_xlfn.IFNA(IF(VALUE(INDEX(Producer!$H:$H,MATCH($D155,Producer!$A:$A,0)))=0,"",VALUE(INDEX(Producer!$H:$H,MATCH($D155,Producer!$A:$A,0)))),"")</f>
        <v/>
      </c>
      <c r="BO155" s="153"/>
      <c r="BP155" s="153"/>
      <c r="BQ155" s="219" t="str">
        <f t="shared" si="66"/>
        <v/>
      </c>
      <c r="BR155" s="146"/>
      <c r="BS155" s="146"/>
      <c r="BT155" s="146"/>
      <c r="BU155" s="146"/>
      <c r="BV155" s="219" t="str">
        <f t="shared" si="67"/>
        <v/>
      </c>
      <c r="BW155" s="146"/>
      <c r="BX155" s="146"/>
      <c r="BY155" s="146" t="str">
        <f t="shared" si="68"/>
        <v/>
      </c>
      <c r="BZ155" s="146" t="str">
        <f t="shared" si="69"/>
        <v/>
      </c>
      <c r="CA155" s="146" t="str">
        <f t="shared" si="70"/>
        <v/>
      </c>
      <c r="CB155" s="146" t="str">
        <f t="shared" si="71"/>
        <v/>
      </c>
      <c r="CC155" s="146" t="str">
        <f>_xlfn.IFNA(IF(INDEX(Producer!$P:$P,MATCH($D155,Producer!$A:$A,0))="Help to Buy","Only available","No"),"")</f>
        <v/>
      </c>
      <c r="CD155" s="146" t="str">
        <f>_xlfn.IFNA(IF(INDEX(Producer!$P:$P,MATCH($D155,Producer!$A:$A,0))="Shared Ownership","Only available","No"),"")</f>
        <v/>
      </c>
      <c r="CE155" s="146" t="str">
        <f>_xlfn.IFNA(IF(INDEX(Producer!$P:$P,MATCH($D155,Producer!$A:$A,0))="Right to Buy","Only available","No"),"")</f>
        <v/>
      </c>
      <c r="CF155" s="146" t="str">
        <f t="shared" si="72"/>
        <v/>
      </c>
      <c r="CG155" s="146" t="str">
        <f>_xlfn.IFNA(IF(INDEX(Producer!$P:$P,MATCH($D155,Producer!$A:$A,0))="Retirement Interest Only","Only available","No"),"")</f>
        <v/>
      </c>
      <c r="CH155" s="146" t="str">
        <f t="shared" si="73"/>
        <v/>
      </c>
      <c r="CI155" s="146" t="str">
        <f>_xlfn.IFNA(IF(INDEX(Producer!$P:$P,MATCH($D155,Producer!$A:$A,0))="Intermediary Holiday Let","Only available","No"),"")</f>
        <v/>
      </c>
      <c r="CJ155" s="146" t="str">
        <f t="shared" si="74"/>
        <v/>
      </c>
      <c r="CK155" s="146" t="str">
        <f>_xlfn.IFNA(IF(OR(INDEX(Producer!$P:$P,MATCH($D155,Producer!$A:$A,0))="Intermediary Small HMO",INDEX(Producer!$P:$P,MATCH($D155,Producer!$A:$A,0))="Intermediary Large HMO"),"Only available","No"),"")</f>
        <v/>
      </c>
      <c r="CL155" s="146" t="str">
        <f t="shared" si="75"/>
        <v/>
      </c>
      <c r="CM155" s="146" t="str">
        <f t="shared" si="76"/>
        <v/>
      </c>
      <c r="CN155" s="146" t="str">
        <f t="shared" si="77"/>
        <v/>
      </c>
      <c r="CO155" s="146" t="str">
        <f t="shared" si="78"/>
        <v/>
      </c>
      <c r="CP155" s="146" t="str">
        <f t="shared" si="79"/>
        <v/>
      </c>
      <c r="CQ155" s="146" t="str">
        <f t="shared" si="80"/>
        <v/>
      </c>
      <c r="CR155" s="146" t="str">
        <f t="shared" si="81"/>
        <v/>
      </c>
      <c r="CS155" s="146" t="str">
        <f t="shared" si="82"/>
        <v/>
      </c>
      <c r="CT155" s="146" t="str">
        <f t="shared" si="83"/>
        <v/>
      </c>
      <c r="CU155" s="146"/>
    </row>
    <row r="156" spans="1:99" ht="16.399999999999999" customHeight="1" x14ac:dyDescent="0.35">
      <c r="A156" s="145" t="str">
        <f t="shared" si="56"/>
        <v/>
      </c>
      <c r="B156" s="145" t="str">
        <f>_xlfn.IFNA(_xlfn.CONCAT(INDEX(Producer!$P:$P,MATCH($D156,Producer!$A:$A,0))," ",IF(INDEX(Producer!$N:$N,MATCH($D156,Producer!$A:$A,0))="Yes","Green ",""),IF(AND(INDEX(Producer!$L:$L,MATCH($D156,Producer!$A:$A,0))="No",INDEX(Producer!$C:$C,MATCH($D156,Producer!$A:$A,0))="Fixed"),"Flexit ",""),INDEX(Producer!$B:$B,MATCH($D156,Producer!$A:$A,0))," Year ",INDEX(Producer!$C:$C,MATCH($D156,Producer!$A:$A,0))," ",VALUE(INDEX(Producer!$E:$E,MATCH($D156,Producer!$A:$A,0)))*100,"% LTV",IF(INDEX(Producer!$N:$N,MATCH($D156,Producer!$A:$A,0))="Yes"," (EPC A-C)","")," - ",IF(INDEX(Producer!$D:$D,MATCH($D156,Producer!$A:$A,0))="DLY","Daily","Annual")),"")</f>
        <v/>
      </c>
      <c r="C156" s="146" t="str">
        <f>_xlfn.IFNA(INDEX(Producer!$Q:$Q,MATCH($D156,Producer!$A:$A,0)),"")</f>
        <v/>
      </c>
      <c r="D156" s="146" t="str">
        <f>IFERROR(VALUE(MID(Producer!$R$2,IF($D155="",1/0,FIND(_xlfn.CONCAT($D154,$D155),Producer!$R$2)+10),5)),"")</f>
        <v/>
      </c>
      <c r="E156" s="146" t="str">
        <f t="shared" si="57"/>
        <v/>
      </c>
      <c r="F156" s="146"/>
      <c r="G156" s="147" t="str">
        <f>_xlfn.IFNA(VALUE(INDEX(Producer!$F:$F,MATCH($D156,Producer!$A:$A,0)))*100,"")</f>
        <v/>
      </c>
      <c r="H156" s="216" t="str">
        <f>_xlfn.IFNA(IFERROR(DATEVALUE(INDEX(Producer!$M:$M,MATCH($D156,Producer!$A:$A,0))),(INDEX(Producer!$M:$M,MATCH($D156,Producer!$A:$A,0)))),"")</f>
        <v/>
      </c>
      <c r="I156" s="217" t="str">
        <f>_xlfn.IFNA(VALUE(INDEX(Producer!$B:$B,MATCH($D156,Producer!$A:$A,0)))*12,"")</f>
        <v/>
      </c>
      <c r="J156" s="146" t="str">
        <f>_xlfn.IFNA(IF(C156="Residential",IF(VALUE(INDEX(Producer!$B:$B,MATCH($D156,Producer!$A:$A,0)))&lt;5,Constants!$C$10,""),IF(VALUE(INDEX(Producer!$B:$B,MATCH($D156,Producer!$A:$A,0)))&lt;5,Constants!$C$11,"")),"")</f>
        <v/>
      </c>
      <c r="K156" s="216" t="str">
        <f>_xlfn.IFNA(IF(($I156)&lt;60,DATE(YEAR(H156)+(5-VALUE(INDEX(Producer!$B:$B,MATCH($D156,Producer!$A:$A,0)))),MONTH(H156),DAY(H156)),""),"")</f>
        <v/>
      </c>
      <c r="L156" s="153" t="str">
        <f t="shared" si="58"/>
        <v/>
      </c>
      <c r="M156" s="146"/>
      <c r="N156" s="148"/>
      <c r="O156" s="148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6"/>
      <c r="AK156" s="146" t="str">
        <f>IF(D156="","",IF(C156="Residential",Constants!$B$10,Constants!$B$11))</f>
        <v/>
      </c>
      <c r="AL156" s="146" t="str">
        <f t="shared" si="59"/>
        <v/>
      </c>
      <c r="AM156" s="206" t="str">
        <f t="shared" si="60"/>
        <v/>
      </c>
      <c r="AN156" s="146" t="str">
        <f t="shared" si="61"/>
        <v/>
      </c>
      <c r="AO156" s="149" t="str">
        <f t="shared" si="62"/>
        <v/>
      </c>
      <c r="AP156" s="150" t="str">
        <f t="shared" si="63"/>
        <v/>
      </c>
      <c r="AQ156" s="146" t="str">
        <f>IFERROR(_xlfn.IFNA(IF($BA156="No",0,IF(INDEX(Constants!B:B,MATCH(($I156/12),Constants!$A:$A,0))=0,0,INDEX(Constants!B:B,MATCH(($I156/12),Constants!$A:$A,0)))),0),"")</f>
        <v/>
      </c>
      <c r="AR156" s="146" t="str">
        <f>IFERROR(_xlfn.IFNA(IF($BA156="No",0,IF(INDEX(Constants!C:C,MATCH(($I156/12),Constants!$A:$A,0))=0,0,INDEX(Constants!C:C,MATCH(($I156/12),Constants!$A:$A,0)))),0),"")</f>
        <v/>
      </c>
      <c r="AS156" s="146" t="str">
        <f>IFERROR(_xlfn.IFNA(IF($BA156="No",0,IF(INDEX(Constants!D:D,MATCH(($I156/12),Constants!$A:$A,0))=0,0,INDEX(Constants!D:D,MATCH(($I156/12),Constants!$A:$A,0)))),0),"")</f>
        <v/>
      </c>
      <c r="AT156" s="146" t="str">
        <f>IFERROR(_xlfn.IFNA(IF($BA156="No",0,IF(INDEX(Constants!E:E,MATCH(($I156/12),Constants!$A:$A,0))=0,0,INDEX(Constants!E:E,MATCH(($I156/12),Constants!$A:$A,0)))),0),"")</f>
        <v/>
      </c>
      <c r="AU156" s="146" t="str">
        <f>IFERROR(_xlfn.IFNA(IF($BA156="No",0,IF(INDEX(Constants!F:F,MATCH(($I156/12),Constants!$A:$A,0))=0,0,INDEX(Constants!F:F,MATCH(($I156/12),Constants!$A:$A,0)))),0),"")</f>
        <v/>
      </c>
      <c r="AV156" s="146" t="str">
        <f>IFERROR(_xlfn.IFNA(IF($BA156="No",0,IF(INDEX(Constants!G:G,MATCH(($I156/12),Constants!$A:$A,0))=0,0,INDEX(Constants!G:G,MATCH(($I156/12),Constants!$A:$A,0)))),0),"")</f>
        <v/>
      </c>
      <c r="AW156" s="146" t="str">
        <f>IFERROR(_xlfn.IFNA(IF($BA156="No",0,IF(INDEX(Constants!H:H,MATCH(($I156/12),Constants!$A:$A,0))=0,0,INDEX(Constants!H:H,MATCH(($I156/12),Constants!$A:$A,0)))),0),"")</f>
        <v/>
      </c>
      <c r="AX156" s="146" t="str">
        <f>IFERROR(_xlfn.IFNA(IF($BA156="No",0,IF(INDEX(Constants!I:I,MATCH(($I156/12),Constants!$A:$A,0))=0,0,INDEX(Constants!I:I,MATCH(($I156/12),Constants!$A:$A,0)))),0),"")</f>
        <v/>
      </c>
      <c r="AY156" s="146" t="str">
        <f>IFERROR(_xlfn.IFNA(IF($BA156="No",0,IF(INDEX(Constants!J:J,MATCH(($I156/12),Constants!$A:$A,0))=0,0,INDEX(Constants!J:J,MATCH(($I156/12),Constants!$A:$A,0)))),0),"")</f>
        <v/>
      </c>
      <c r="AZ156" s="146" t="str">
        <f>IFERROR(_xlfn.IFNA(IF($BA156="No",0,IF(INDEX(Constants!K:K,MATCH(($I156/12),Constants!$A:$A,0))=0,0,INDEX(Constants!K:K,MATCH(($I156/12),Constants!$A:$A,0)))),0),"")</f>
        <v/>
      </c>
      <c r="BA156" s="147" t="str">
        <f>_xlfn.IFNA(INDEX(Producer!$L:$L,MATCH($D156,Producer!$A:$A,0)),"")</f>
        <v/>
      </c>
      <c r="BB156" s="146" t="str">
        <f>IFERROR(IF(AQ156=0,"",IF(($I156/12)=15,_xlfn.CONCAT(Constants!$N$7,TEXT(DATE(YEAR(H156)-(($I156/12)-3),MONTH(H156),DAY(H156)),"dd/mm/yyyy"),", ",Constants!$P$7,TEXT(DATE(YEAR(H156)-(($I156/12)-8),MONTH(H156),DAY(H156)),"dd/mm/yyyy"),", ",Constants!$T$7,TEXT(DATE(YEAR(H156)-(($I156/12)-11),MONTH(H156),DAY(H156)),"dd/mm/yyyy"),", ",Constants!$V$7,TEXT(DATE(YEAR(H156)-(($I156/12)-13),MONTH(H156),DAY(H156)),"dd/mm/yyyy"),", ",Constants!$W$7,TEXT($H156,"dd/mm/yyyy")),IF(($I156/12)=10,_xlfn.CONCAT(Constants!$N$6,TEXT(DATE(YEAR(H156)-(($I156/12)-2),MONTH(H156),DAY(H156)),"dd/mm/yyyy"),", ",Constants!$P$6,TEXT(DATE(YEAR(H156)-(($I156/12)-6),MONTH(H156),DAY(H156)),"dd/mm/yyyy"),", ",Constants!$T$6,TEXT(DATE(YEAR(H156)-(($I156/12)-8),MONTH(H156),DAY(H156)),"dd/mm/yyyy"),", ",Constants!$V$6,TEXT(DATE(YEAR(H156)-(($I156/12)-9),MONTH(H156),DAY(H156)),"dd/mm/yyyy"),", ",Constants!$W$6,TEXT($H156,"dd/mm/yyyy")),IF(($I156/12)=5,_xlfn.CONCAT(Constants!$N$5,TEXT(DATE(YEAR(H156)-(($I156/12)-1),MONTH(H156),DAY(H156)),"dd/mm/yyyy"),", ",Constants!$O$5,TEXT(DATE(YEAR(H156)-(($I156/12)-2),MONTH(H156),DAY(H156)),"dd/mm/yyyy"),", ",Constants!$P$5,TEXT(DATE(YEAR(H156)-(($I156/12)-3),MONTH(H156),DAY(H156)),"dd/mm/yyyy"),", ",Constants!$Q$5,TEXT(DATE(YEAR(H156)-(($I156/12)-4),MONTH(H156),DAY(H156)),"dd/mm/yyyy"),", ",Constants!$R$5,TEXT($H156,"dd/mm/yyyy")),IF(($I156/12)=3,_xlfn.CONCAT(Constants!$N$4,TEXT(DATE(YEAR(H156)-(($I156/12)-1),MONTH(H156),DAY(H156)),"dd/mm/yyyy"),", ",Constants!$O$4,TEXT(DATE(YEAR(H156)-(($I156/12)-2),MONTH(H156),DAY(H156)),"dd/mm/yyyy"),", ",Constants!$P$4,TEXT($H156,"dd/mm/yyyy")),IF(($I156/12)=2,_xlfn.CONCAT(Constants!$N$3,TEXT(DATE(YEAR(H156)-(($I156/12)-1),MONTH(H156),DAY(H156)),"dd/mm/yyyy"),", ",Constants!$O$3,TEXT($H156,"dd/mm/yyyy")),IF(($I156/12)=1,_xlfn.CONCAT(Constants!$N$2,TEXT($H156,"dd/mm/yyyy")),"Update Constants"))))))),"")</f>
        <v/>
      </c>
      <c r="BC156" s="147" t="str">
        <f>_xlfn.IFNA(VALUE(INDEX(Producer!$K:$K,MATCH($D156,Producer!$A:$A,0))),"")</f>
        <v/>
      </c>
      <c r="BD156" s="147" t="str">
        <f>_xlfn.IFNA(INDEX(Producer!$I:$I,MATCH($D156,Producer!$A:$A,0)),"")</f>
        <v/>
      </c>
      <c r="BE156" s="147" t="str">
        <f t="shared" si="64"/>
        <v/>
      </c>
      <c r="BF156" s="147"/>
      <c r="BG156" s="147"/>
      <c r="BH156" s="151" t="str">
        <f>_xlfn.IFNA(INDEX(Constants!$B:$B,MATCH(BC156,Constants!A:A,0)),"")</f>
        <v/>
      </c>
      <c r="BI156" s="147" t="str">
        <f>IF(LEFT(B156,15)="Limited Company",Constants!$D$16,IFERROR(_xlfn.IFNA(IF(C156="Residential",IF(BK156&lt;75,INDEX(Constants!$B:$B,MATCH(VALUE(60)/100,Constants!$A:$A,0)),INDEX(Constants!$B:$B,MATCH(VALUE(BK156)/100,Constants!$A:$A,0))),IF(BK156&lt;60,INDEX(Constants!$C:$C,MATCH(VALUE(60)/100,Constants!$A:$A,0)),INDEX(Constants!$C:$C,MATCH(VALUE(BK156)/100,Constants!$A:$A,0)))),""),""))</f>
        <v/>
      </c>
      <c r="BJ156" s="147" t="str">
        <f t="shared" si="65"/>
        <v/>
      </c>
      <c r="BK156" s="147" t="str">
        <f>_xlfn.IFNA(VALUE(INDEX(Producer!$E:$E,MATCH($D156,Producer!$A:$A,0)))*100,"")</f>
        <v/>
      </c>
      <c r="BL156" s="146" t="str">
        <f>_xlfn.IFNA(IF(IFERROR(FIND("Part &amp; Part",B156),-10)&gt;0,"PP",IF(OR(LEFT(B156,25)="Residential Interest Only",INDEX(Producer!$P:$P,MATCH($D156,Producer!$A:$A,0))="IO",INDEX(Producer!$P:$P,MATCH($D156,Producer!$A:$A,0))="Retirement Interest Only"),"IO",IF($C156="BuyToLet","CI, IO","CI"))),"")</f>
        <v/>
      </c>
      <c r="BM156" s="152" t="str">
        <f>_xlfn.IFNA(IF(BL156="IO",100%,IF(AND(INDEX(Producer!$P:$P,MATCH($D156,Producer!$A:$A,0))="Residential Interest Only Part &amp; Part",BK156=75),80%,IF(C156="BuyToLet",100%,IF(BL156="Interest Only",100%,IF(AND(INDEX(Producer!$P:$P,MATCH($D156,Producer!$A:$A,0))="Residential Interest Only Part &amp; Part",BK156=60),100%,""))))),"")</f>
        <v/>
      </c>
      <c r="BN156" s="218" t="str">
        <f>_xlfn.IFNA(IF(VALUE(INDEX(Producer!$H:$H,MATCH($D156,Producer!$A:$A,0)))=0,"",VALUE(INDEX(Producer!$H:$H,MATCH($D156,Producer!$A:$A,0)))),"")</f>
        <v/>
      </c>
      <c r="BO156" s="153"/>
      <c r="BP156" s="153"/>
      <c r="BQ156" s="219" t="str">
        <f t="shared" si="66"/>
        <v/>
      </c>
      <c r="BR156" s="146"/>
      <c r="BS156" s="146"/>
      <c r="BT156" s="146"/>
      <c r="BU156" s="146"/>
      <c r="BV156" s="219" t="str">
        <f t="shared" si="67"/>
        <v/>
      </c>
      <c r="BW156" s="146"/>
      <c r="BX156" s="146"/>
      <c r="BY156" s="146" t="str">
        <f t="shared" si="68"/>
        <v/>
      </c>
      <c r="BZ156" s="146" t="str">
        <f t="shared" si="69"/>
        <v/>
      </c>
      <c r="CA156" s="146" t="str">
        <f t="shared" si="70"/>
        <v/>
      </c>
      <c r="CB156" s="146" t="str">
        <f t="shared" si="71"/>
        <v/>
      </c>
      <c r="CC156" s="146" t="str">
        <f>_xlfn.IFNA(IF(INDEX(Producer!$P:$P,MATCH($D156,Producer!$A:$A,0))="Help to Buy","Only available","No"),"")</f>
        <v/>
      </c>
      <c r="CD156" s="146" t="str">
        <f>_xlfn.IFNA(IF(INDEX(Producer!$P:$P,MATCH($D156,Producer!$A:$A,0))="Shared Ownership","Only available","No"),"")</f>
        <v/>
      </c>
      <c r="CE156" s="146" t="str">
        <f>_xlfn.IFNA(IF(INDEX(Producer!$P:$P,MATCH($D156,Producer!$A:$A,0))="Right to Buy","Only available","No"),"")</f>
        <v/>
      </c>
      <c r="CF156" s="146" t="str">
        <f t="shared" si="72"/>
        <v/>
      </c>
      <c r="CG156" s="146" t="str">
        <f>_xlfn.IFNA(IF(INDEX(Producer!$P:$P,MATCH($D156,Producer!$A:$A,0))="Retirement Interest Only","Only available","No"),"")</f>
        <v/>
      </c>
      <c r="CH156" s="146" t="str">
        <f t="shared" si="73"/>
        <v/>
      </c>
      <c r="CI156" s="146" t="str">
        <f>_xlfn.IFNA(IF(INDEX(Producer!$P:$P,MATCH($D156,Producer!$A:$A,0))="Intermediary Holiday Let","Only available","No"),"")</f>
        <v/>
      </c>
      <c r="CJ156" s="146" t="str">
        <f t="shared" si="74"/>
        <v/>
      </c>
      <c r="CK156" s="146" t="str">
        <f>_xlfn.IFNA(IF(OR(INDEX(Producer!$P:$P,MATCH($D156,Producer!$A:$A,0))="Intermediary Small HMO",INDEX(Producer!$P:$P,MATCH($D156,Producer!$A:$A,0))="Intermediary Large HMO"),"Only available","No"),"")</f>
        <v/>
      </c>
      <c r="CL156" s="146" t="str">
        <f t="shared" si="75"/>
        <v/>
      </c>
      <c r="CM156" s="146" t="str">
        <f t="shared" si="76"/>
        <v/>
      </c>
      <c r="CN156" s="146" t="str">
        <f t="shared" si="77"/>
        <v/>
      </c>
      <c r="CO156" s="146" t="str">
        <f t="shared" si="78"/>
        <v/>
      </c>
      <c r="CP156" s="146" t="str">
        <f t="shared" si="79"/>
        <v/>
      </c>
      <c r="CQ156" s="146" t="str">
        <f t="shared" si="80"/>
        <v/>
      </c>
      <c r="CR156" s="146" t="str">
        <f t="shared" si="81"/>
        <v/>
      </c>
      <c r="CS156" s="146" t="str">
        <f t="shared" si="82"/>
        <v/>
      </c>
      <c r="CT156" s="146" t="str">
        <f t="shared" si="83"/>
        <v/>
      </c>
      <c r="CU156" s="146"/>
    </row>
    <row r="157" spans="1:99" ht="16.399999999999999" customHeight="1" x14ac:dyDescent="0.35">
      <c r="A157" s="145" t="str">
        <f t="shared" si="56"/>
        <v/>
      </c>
      <c r="B157" s="145" t="str">
        <f>_xlfn.IFNA(_xlfn.CONCAT(INDEX(Producer!$P:$P,MATCH($D157,Producer!$A:$A,0))," ",IF(INDEX(Producer!$N:$N,MATCH($D157,Producer!$A:$A,0))="Yes","Green ",""),IF(AND(INDEX(Producer!$L:$L,MATCH($D157,Producer!$A:$A,0))="No",INDEX(Producer!$C:$C,MATCH($D157,Producer!$A:$A,0))="Fixed"),"Flexit ",""),INDEX(Producer!$B:$B,MATCH($D157,Producer!$A:$A,0))," Year ",INDEX(Producer!$C:$C,MATCH($D157,Producer!$A:$A,0))," ",VALUE(INDEX(Producer!$E:$E,MATCH($D157,Producer!$A:$A,0)))*100,"% LTV",IF(INDEX(Producer!$N:$N,MATCH($D157,Producer!$A:$A,0))="Yes"," (EPC A-C)","")," - ",IF(INDEX(Producer!$D:$D,MATCH($D157,Producer!$A:$A,0))="DLY","Daily","Annual")),"")</f>
        <v/>
      </c>
      <c r="C157" s="146" t="str">
        <f>_xlfn.IFNA(INDEX(Producer!$Q:$Q,MATCH($D157,Producer!$A:$A,0)),"")</f>
        <v/>
      </c>
      <c r="D157" s="146" t="str">
        <f>IFERROR(VALUE(MID(Producer!$R$2,IF($D156="",1/0,FIND(_xlfn.CONCAT($D155,$D156),Producer!$R$2)+10),5)),"")</f>
        <v/>
      </c>
      <c r="E157" s="146" t="str">
        <f t="shared" si="57"/>
        <v/>
      </c>
      <c r="F157" s="146"/>
      <c r="G157" s="147" t="str">
        <f>_xlfn.IFNA(VALUE(INDEX(Producer!$F:$F,MATCH($D157,Producer!$A:$A,0)))*100,"")</f>
        <v/>
      </c>
      <c r="H157" s="216" t="str">
        <f>_xlfn.IFNA(IFERROR(DATEVALUE(INDEX(Producer!$M:$M,MATCH($D157,Producer!$A:$A,0))),(INDEX(Producer!$M:$M,MATCH($D157,Producer!$A:$A,0)))),"")</f>
        <v/>
      </c>
      <c r="I157" s="217" t="str">
        <f>_xlfn.IFNA(VALUE(INDEX(Producer!$B:$B,MATCH($D157,Producer!$A:$A,0)))*12,"")</f>
        <v/>
      </c>
      <c r="J157" s="146" t="str">
        <f>_xlfn.IFNA(IF(C157="Residential",IF(VALUE(INDEX(Producer!$B:$B,MATCH($D157,Producer!$A:$A,0)))&lt;5,Constants!$C$10,""),IF(VALUE(INDEX(Producer!$B:$B,MATCH($D157,Producer!$A:$A,0)))&lt;5,Constants!$C$11,"")),"")</f>
        <v/>
      </c>
      <c r="K157" s="216" t="str">
        <f>_xlfn.IFNA(IF(($I157)&lt;60,DATE(YEAR(H157)+(5-VALUE(INDEX(Producer!$B:$B,MATCH($D157,Producer!$A:$A,0)))),MONTH(H157),DAY(H157)),""),"")</f>
        <v/>
      </c>
      <c r="L157" s="153" t="str">
        <f t="shared" si="58"/>
        <v/>
      </c>
      <c r="M157" s="146"/>
      <c r="N157" s="148"/>
      <c r="O157" s="148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6"/>
      <c r="AK157" s="146" t="str">
        <f>IF(D157="","",IF(C157="Residential",Constants!$B$10,Constants!$B$11))</f>
        <v/>
      </c>
      <c r="AL157" s="146" t="str">
        <f t="shared" si="59"/>
        <v/>
      </c>
      <c r="AM157" s="206" t="str">
        <f t="shared" si="60"/>
        <v/>
      </c>
      <c r="AN157" s="146" t="str">
        <f t="shared" si="61"/>
        <v/>
      </c>
      <c r="AO157" s="149" t="str">
        <f t="shared" si="62"/>
        <v/>
      </c>
      <c r="AP157" s="150" t="str">
        <f t="shared" si="63"/>
        <v/>
      </c>
      <c r="AQ157" s="146" t="str">
        <f>IFERROR(_xlfn.IFNA(IF($BA157="No",0,IF(INDEX(Constants!B:B,MATCH(($I157/12),Constants!$A:$A,0))=0,0,INDEX(Constants!B:B,MATCH(($I157/12),Constants!$A:$A,0)))),0),"")</f>
        <v/>
      </c>
      <c r="AR157" s="146" t="str">
        <f>IFERROR(_xlfn.IFNA(IF($BA157="No",0,IF(INDEX(Constants!C:C,MATCH(($I157/12),Constants!$A:$A,0))=0,0,INDEX(Constants!C:C,MATCH(($I157/12),Constants!$A:$A,0)))),0),"")</f>
        <v/>
      </c>
      <c r="AS157" s="146" t="str">
        <f>IFERROR(_xlfn.IFNA(IF($BA157="No",0,IF(INDEX(Constants!D:D,MATCH(($I157/12),Constants!$A:$A,0))=0,0,INDEX(Constants!D:D,MATCH(($I157/12),Constants!$A:$A,0)))),0),"")</f>
        <v/>
      </c>
      <c r="AT157" s="146" t="str">
        <f>IFERROR(_xlfn.IFNA(IF($BA157="No",0,IF(INDEX(Constants!E:E,MATCH(($I157/12),Constants!$A:$A,0))=0,0,INDEX(Constants!E:E,MATCH(($I157/12),Constants!$A:$A,0)))),0),"")</f>
        <v/>
      </c>
      <c r="AU157" s="146" t="str">
        <f>IFERROR(_xlfn.IFNA(IF($BA157="No",0,IF(INDEX(Constants!F:F,MATCH(($I157/12),Constants!$A:$A,0))=0,0,INDEX(Constants!F:F,MATCH(($I157/12),Constants!$A:$A,0)))),0),"")</f>
        <v/>
      </c>
      <c r="AV157" s="146" t="str">
        <f>IFERROR(_xlfn.IFNA(IF($BA157="No",0,IF(INDEX(Constants!G:G,MATCH(($I157/12),Constants!$A:$A,0))=0,0,INDEX(Constants!G:G,MATCH(($I157/12),Constants!$A:$A,0)))),0),"")</f>
        <v/>
      </c>
      <c r="AW157" s="146" t="str">
        <f>IFERROR(_xlfn.IFNA(IF($BA157="No",0,IF(INDEX(Constants!H:H,MATCH(($I157/12),Constants!$A:$A,0))=0,0,INDEX(Constants!H:H,MATCH(($I157/12),Constants!$A:$A,0)))),0),"")</f>
        <v/>
      </c>
      <c r="AX157" s="146" t="str">
        <f>IFERROR(_xlfn.IFNA(IF($BA157="No",0,IF(INDEX(Constants!I:I,MATCH(($I157/12),Constants!$A:$A,0))=0,0,INDEX(Constants!I:I,MATCH(($I157/12),Constants!$A:$A,0)))),0),"")</f>
        <v/>
      </c>
      <c r="AY157" s="146" t="str">
        <f>IFERROR(_xlfn.IFNA(IF($BA157="No",0,IF(INDEX(Constants!J:J,MATCH(($I157/12),Constants!$A:$A,0))=0,0,INDEX(Constants!J:J,MATCH(($I157/12),Constants!$A:$A,0)))),0),"")</f>
        <v/>
      </c>
      <c r="AZ157" s="146" t="str">
        <f>IFERROR(_xlfn.IFNA(IF($BA157="No",0,IF(INDEX(Constants!K:K,MATCH(($I157/12),Constants!$A:$A,0))=0,0,INDEX(Constants!K:K,MATCH(($I157/12),Constants!$A:$A,0)))),0),"")</f>
        <v/>
      </c>
      <c r="BA157" s="147" t="str">
        <f>_xlfn.IFNA(INDEX(Producer!$L:$L,MATCH($D157,Producer!$A:$A,0)),"")</f>
        <v/>
      </c>
      <c r="BB157" s="146" t="str">
        <f>IFERROR(IF(AQ157=0,"",IF(($I157/12)=15,_xlfn.CONCAT(Constants!$N$7,TEXT(DATE(YEAR(H157)-(($I157/12)-3),MONTH(H157),DAY(H157)),"dd/mm/yyyy"),", ",Constants!$P$7,TEXT(DATE(YEAR(H157)-(($I157/12)-8),MONTH(H157),DAY(H157)),"dd/mm/yyyy"),", ",Constants!$T$7,TEXT(DATE(YEAR(H157)-(($I157/12)-11),MONTH(H157),DAY(H157)),"dd/mm/yyyy"),", ",Constants!$V$7,TEXT(DATE(YEAR(H157)-(($I157/12)-13),MONTH(H157),DAY(H157)),"dd/mm/yyyy"),", ",Constants!$W$7,TEXT($H157,"dd/mm/yyyy")),IF(($I157/12)=10,_xlfn.CONCAT(Constants!$N$6,TEXT(DATE(YEAR(H157)-(($I157/12)-2),MONTH(H157),DAY(H157)),"dd/mm/yyyy"),", ",Constants!$P$6,TEXT(DATE(YEAR(H157)-(($I157/12)-6),MONTH(H157),DAY(H157)),"dd/mm/yyyy"),", ",Constants!$T$6,TEXT(DATE(YEAR(H157)-(($I157/12)-8),MONTH(H157),DAY(H157)),"dd/mm/yyyy"),", ",Constants!$V$6,TEXT(DATE(YEAR(H157)-(($I157/12)-9),MONTH(H157),DAY(H157)),"dd/mm/yyyy"),", ",Constants!$W$6,TEXT($H157,"dd/mm/yyyy")),IF(($I157/12)=5,_xlfn.CONCAT(Constants!$N$5,TEXT(DATE(YEAR(H157)-(($I157/12)-1),MONTH(H157),DAY(H157)),"dd/mm/yyyy"),", ",Constants!$O$5,TEXT(DATE(YEAR(H157)-(($I157/12)-2),MONTH(H157),DAY(H157)),"dd/mm/yyyy"),", ",Constants!$P$5,TEXT(DATE(YEAR(H157)-(($I157/12)-3),MONTH(H157),DAY(H157)),"dd/mm/yyyy"),", ",Constants!$Q$5,TEXT(DATE(YEAR(H157)-(($I157/12)-4),MONTH(H157),DAY(H157)),"dd/mm/yyyy"),", ",Constants!$R$5,TEXT($H157,"dd/mm/yyyy")),IF(($I157/12)=3,_xlfn.CONCAT(Constants!$N$4,TEXT(DATE(YEAR(H157)-(($I157/12)-1),MONTH(H157),DAY(H157)),"dd/mm/yyyy"),", ",Constants!$O$4,TEXT(DATE(YEAR(H157)-(($I157/12)-2),MONTH(H157),DAY(H157)),"dd/mm/yyyy"),", ",Constants!$P$4,TEXT($H157,"dd/mm/yyyy")),IF(($I157/12)=2,_xlfn.CONCAT(Constants!$N$3,TEXT(DATE(YEAR(H157)-(($I157/12)-1),MONTH(H157),DAY(H157)),"dd/mm/yyyy"),", ",Constants!$O$3,TEXT($H157,"dd/mm/yyyy")),IF(($I157/12)=1,_xlfn.CONCAT(Constants!$N$2,TEXT($H157,"dd/mm/yyyy")),"Update Constants"))))))),"")</f>
        <v/>
      </c>
      <c r="BC157" s="147" t="str">
        <f>_xlfn.IFNA(VALUE(INDEX(Producer!$K:$K,MATCH($D157,Producer!$A:$A,0))),"")</f>
        <v/>
      </c>
      <c r="BD157" s="147" t="str">
        <f>_xlfn.IFNA(INDEX(Producer!$I:$I,MATCH($D157,Producer!$A:$A,0)),"")</f>
        <v/>
      </c>
      <c r="BE157" s="147" t="str">
        <f t="shared" si="64"/>
        <v/>
      </c>
      <c r="BF157" s="147"/>
      <c r="BG157" s="147"/>
      <c r="BH157" s="151" t="str">
        <f>_xlfn.IFNA(INDEX(Constants!$B:$B,MATCH(BC157,Constants!A:A,0)),"")</f>
        <v/>
      </c>
      <c r="BI157" s="147" t="str">
        <f>IF(LEFT(B157,15)="Limited Company",Constants!$D$16,IFERROR(_xlfn.IFNA(IF(C157="Residential",IF(BK157&lt;75,INDEX(Constants!$B:$B,MATCH(VALUE(60)/100,Constants!$A:$A,0)),INDEX(Constants!$B:$B,MATCH(VALUE(BK157)/100,Constants!$A:$A,0))),IF(BK157&lt;60,INDEX(Constants!$C:$C,MATCH(VALUE(60)/100,Constants!$A:$A,0)),INDEX(Constants!$C:$C,MATCH(VALUE(BK157)/100,Constants!$A:$A,0)))),""),""))</f>
        <v/>
      </c>
      <c r="BJ157" s="147" t="str">
        <f t="shared" si="65"/>
        <v/>
      </c>
      <c r="BK157" s="147" t="str">
        <f>_xlfn.IFNA(VALUE(INDEX(Producer!$E:$E,MATCH($D157,Producer!$A:$A,0)))*100,"")</f>
        <v/>
      </c>
      <c r="BL157" s="146" t="str">
        <f>_xlfn.IFNA(IF(IFERROR(FIND("Part &amp; Part",B157),-10)&gt;0,"PP",IF(OR(LEFT(B157,25)="Residential Interest Only",INDEX(Producer!$P:$P,MATCH($D157,Producer!$A:$A,0))="IO",INDEX(Producer!$P:$P,MATCH($D157,Producer!$A:$A,0))="Retirement Interest Only"),"IO",IF($C157="BuyToLet","CI, IO","CI"))),"")</f>
        <v/>
      </c>
      <c r="BM157" s="152" t="str">
        <f>_xlfn.IFNA(IF(BL157="IO",100%,IF(AND(INDEX(Producer!$P:$P,MATCH($D157,Producer!$A:$A,0))="Residential Interest Only Part &amp; Part",BK157=75),80%,IF(C157="BuyToLet",100%,IF(BL157="Interest Only",100%,IF(AND(INDEX(Producer!$P:$P,MATCH($D157,Producer!$A:$A,0))="Residential Interest Only Part &amp; Part",BK157=60),100%,""))))),"")</f>
        <v/>
      </c>
      <c r="BN157" s="218" t="str">
        <f>_xlfn.IFNA(IF(VALUE(INDEX(Producer!$H:$H,MATCH($D157,Producer!$A:$A,0)))=0,"",VALUE(INDEX(Producer!$H:$H,MATCH($D157,Producer!$A:$A,0)))),"")</f>
        <v/>
      </c>
      <c r="BO157" s="153"/>
      <c r="BP157" s="153"/>
      <c r="BQ157" s="219" t="str">
        <f t="shared" si="66"/>
        <v/>
      </c>
      <c r="BR157" s="146"/>
      <c r="BS157" s="146"/>
      <c r="BT157" s="146"/>
      <c r="BU157" s="146"/>
      <c r="BV157" s="219" t="str">
        <f t="shared" si="67"/>
        <v/>
      </c>
      <c r="BW157" s="146"/>
      <c r="BX157" s="146"/>
      <c r="BY157" s="146" t="str">
        <f t="shared" si="68"/>
        <v/>
      </c>
      <c r="BZ157" s="146" t="str">
        <f t="shared" si="69"/>
        <v/>
      </c>
      <c r="CA157" s="146" t="str">
        <f t="shared" si="70"/>
        <v/>
      </c>
      <c r="CB157" s="146" t="str">
        <f t="shared" si="71"/>
        <v/>
      </c>
      <c r="CC157" s="146" t="str">
        <f>_xlfn.IFNA(IF(INDEX(Producer!$P:$P,MATCH($D157,Producer!$A:$A,0))="Help to Buy","Only available","No"),"")</f>
        <v/>
      </c>
      <c r="CD157" s="146" t="str">
        <f>_xlfn.IFNA(IF(INDEX(Producer!$P:$P,MATCH($D157,Producer!$A:$A,0))="Shared Ownership","Only available","No"),"")</f>
        <v/>
      </c>
      <c r="CE157" s="146" t="str">
        <f>_xlfn.IFNA(IF(INDEX(Producer!$P:$P,MATCH($D157,Producer!$A:$A,0))="Right to Buy","Only available","No"),"")</f>
        <v/>
      </c>
      <c r="CF157" s="146" t="str">
        <f t="shared" si="72"/>
        <v/>
      </c>
      <c r="CG157" s="146" t="str">
        <f>_xlfn.IFNA(IF(INDEX(Producer!$P:$P,MATCH($D157,Producer!$A:$A,0))="Retirement Interest Only","Only available","No"),"")</f>
        <v/>
      </c>
      <c r="CH157" s="146" t="str">
        <f t="shared" si="73"/>
        <v/>
      </c>
      <c r="CI157" s="146" t="str">
        <f>_xlfn.IFNA(IF(INDEX(Producer!$P:$P,MATCH($D157,Producer!$A:$A,0))="Intermediary Holiday Let","Only available","No"),"")</f>
        <v/>
      </c>
      <c r="CJ157" s="146" t="str">
        <f t="shared" si="74"/>
        <v/>
      </c>
      <c r="CK157" s="146" t="str">
        <f>_xlfn.IFNA(IF(OR(INDEX(Producer!$P:$P,MATCH($D157,Producer!$A:$A,0))="Intermediary Small HMO",INDEX(Producer!$P:$P,MATCH($D157,Producer!$A:$A,0))="Intermediary Large HMO"),"Only available","No"),"")</f>
        <v/>
      </c>
      <c r="CL157" s="146" t="str">
        <f t="shared" si="75"/>
        <v/>
      </c>
      <c r="CM157" s="146" t="str">
        <f t="shared" si="76"/>
        <v/>
      </c>
      <c r="CN157" s="146" t="str">
        <f t="shared" si="77"/>
        <v/>
      </c>
      <c r="CO157" s="146" t="str">
        <f t="shared" si="78"/>
        <v/>
      </c>
      <c r="CP157" s="146" t="str">
        <f t="shared" si="79"/>
        <v/>
      </c>
      <c r="CQ157" s="146" t="str">
        <f t="shared" si="80"/>
        <v/>
      </c>
      <c r="CR157" s="146" t="str">
        <f t="shared" si="81"/>
        <v/>
      </c>
      <c r="CS157" s="146" t="str">
        <f t="shared" si="82"/>
        <v/>
      </c>
      <c r="CT157" s="146" t="str">
        <f t="shared" si="83"/>
        <v/>
      </c>
      <c r="CU157" s="146"/>
    </row>
    <row r="158" spans="1:99" ht="16.399999999999999" customHeight="1" x14ac:dyDescent="0.35">
      <c r="A158" s="145" t="str">
        <f t="shared" si="56"/>
        <v/>
      </c>
      <c r="B158" s="145" t="str">
        <f>_xlfn.IFNA(_xlfn.CONCAT(INDEX(Producer!$P:$P,MATCH($D158,Producer!$A:$A,0))," ",IF(INDEX(Producer!$N:$N,MATCH($D158,Producer!$A:$A,0))="Yes","Green ",""),IF(AND(INDEX(Producer!$L:$L,MATCH($D158,Producer!$A:$A,0))="No",INDEX(Producer!$C:$C,MATCH($D158,Producer!$A:$A,0))="Fixed"),"Flexit ",""),INDEX(Producer!$B:$B,MATCH($D158,Producer!$A:$A,0))," Year ",INDEX(Producer!$C:$C,MATCH($D158,Producer!$A:$A,0))," ",VALUE(INDEX(Producer!$E:$E,MATCH($D158,Producer!$A:$A,0)))*100,"% LTV",IF(INDEX(Producer!$N:$N,MATCH($D158,Producer!$A:$A,0))="Yes"," (EPC A-C)","")," - ",IF(INDEX(Producer!$D:$D,MATCH($D158,Producer!$A:$A,0))="DLY","Daily","Annual")),"")</f>
        <v/>
      </c>
      <c r="C158" s="146" t="str">
        <f>_xlfn.IFNA(INDEX(Producer!$Q:$Q,MATCH($D158,Producer!$A:$A,0)),"")</f>
        <v/>
      </c>
      <c r="D158" s="146" t="str">
        <f>IFERROR(VALUE(MID(Producer!$R$2,IF($D157="",1/0,FIND(_xlfn.CONCAT($D156,$D157),Producer!$R$2)+10),5)),"")</f>
        <v/>
      </c>
      <c r="E158" s="146" t="str">
        <f t="shared" si="57"/>
        <v/>
      </c>
      <c r="F158" s="146"/>
      <c r="G158" s="147" t="str">
        <f>_xlfn.IFNA(VALUE(INDEX(Producer!$F:$F,MATCH($D158,Producer!$A:$A,0)))*100,"")</f>
        <v/>
      </c>
      <c r="H158" s="216" t="str">
        <f>_xlfn.IFNA(IFERROR(DATEVALUE(INDEX(Producer!$M:$M,MATCH($D158,Producer!$A:$A,0))),(INDEX(Producer!$M:$M,MATCH($D158,Producer!$A:$A,0)))),"")</f>
        <v/>
      </c>
      <c r="I158" s="217" t="str">
        <f>_xlfn.IFNA(VALUE(INDEX(Producer!$B:$B,MATCH($D158,Producer!$A:$A,0)))*12,"")</f>
        <v/>
      </c>
      <c r="J158" s="146" t="str">
        <f>_xlfn.IFNA(IF(C158="Residential",IF(VALUE(INDEX(Producer!$B:$B,MATCH($D158,Producer!$A:$A,0)))&lt;5,Constants!$C$10,""),IF(VALUE(INDEX(Producer!$B:$B,MATCH($D158,Producer!$A:$A,0)))&lt;5,Constants!$C$11,"")),"")</f>
        <v/>
      </c>
      <c r="K158" s="216" t="str">
        <f>_xlfn.IFNA(IF(($I158)&lt;60,DATE(YEAR(H158)+(5-VALUE(INDEX(Producer!$B:$B,MATCH($D158,Producer!$A:$A,0)))),MONTH(H158),DAY(H158)),""),"")</f>
        <v/>
      </c>
      <c r="L158" s="153" t="str">
        <f t="shared" si="58"/>
        <v/>
      </c>
      <c r="M158" s="146"/>
      <c r="N158" s="148"/>
      <c r="O158" s="148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146"/>
      <c r="AJ158" s="146"/>
      <c r="AK158" s="146" t="str">
        <f>IF(D158="","",IF(C158="Residential",Constants!$B$10,Constants!$B$11))</f>
        <v/>
      </c>
      <c r="AL158" s="146" t="str">
        <f t="shared" si="59"/>
        <v/>
      </c>
      <c r="AM158" s="206" t="str">
        <f t="shared" si="60"/>
        <v/>
      </c>
      <c r="AN158" s="146" t="str">
        <f t="shared" si="61"/>
        <v/>
      </c>
      <c r="AO158" s="149" t="str">
        <f t="shared" si="62"/>
        <v/>
      </c>
      <c r="AP158" s="150" t="str">
        <f t="shared" si="63"/>
        <v/>
      </c>
      <c r="AQ158" s="146" t="str">
        <f>IFERROR(_xlfn.IFNA(IF($BA158="No",0,IF(INDEX(Constants!B:B,MATCH(($I158/12),Constants!$A:$A,0))=0,0,INDEX(Constants!B:B,MATCH(($I158/12),Constants!$A:$A,0)))),0),"")</f>
        <v/>
      </c>
      <c r="AR158" s="146" t="str">
        <f>IFERROR(_xlfn.IFNA(IF($BA158="No",0,IF(INDEX(Constants!C:C,MATCH(($I158/12),Constants!$A:$A,0))=0,0,INDEX(Constants!C:C,MATCH(($I158/12),Constants!$A:$A,0)))),0),"")</f>
        <v/>
      </c>
      <c r="AS158" s="146" t="str">
        <f>IFERROR(_xlfn.IFNA(IF($BA158="No",0,IF(INDEX(Constants!D:D,MATCH(($I158/12),Constants!$A:$A,0))=0,0,INDEX(Constants!D:D,MATCH(($I158/12),Constants!$A:$A,0)))),0),"")</f>
        <v/>
      </c>
      <c r="AT158" s="146" t="str">
        <f>IFERROR(_xlfn.IFNA(IF($BA158="No",0,IF(INDEX(Constants!E:E,MATCH(($I158/12),Constants!$A:$A,0))=0,0,INDEX(Constants!E:E,MATCH(($I158/12),Constants!$A:$A,0)))),0),"")</f>
        <v/>
      </c>
      <c r="AU158" s="146" t="str">
        <f>IFERROR(_xlfn.IFNA(IF($BA158="No",0,IF(INDEX(Constants!F:F,MATCH(($I158/12),Constants!$A:$A,0))=0,0,INDEX(Constants!F:F,MATCH(($I158/12),Constants!$A:$A,0)))),0),"")</f>
        <v/>
      </c>
      <c r="AV158" s="146" t="str">
        <f>IFERROR(_xlfn.IFNA(IF($BA158="No",0,IF(INDEX(Constants!G:G,MATCH(($I158/12),Constants!$A:$A,0))=0,0,INDEX(Constants!G:G,MATCH(($I158/12),Constants!$A:$A,0)))),0),"")</f>
        <v/>
      </c>
      <c r="AW158" s="146" t="str">
        <f>IFERROR(_xlfn.IFNA(IF($BA158="No",0,IF(INDEX(Constants!H:H,MATCH(($I158/12),Constants!$A:$A,0))=0,0,INDEX(Constants!H:H,MATCH(($I158/12),Constants!$A:$A,0)))),0),"")</f>
        <v/>
      </c>
      <c r="AX158" s="146" t="str">
        <f>IFERROR(_xlfn.IFNA(IF($BA158="No",0,IF(INDEX(Constants!I:I,MATCH(($I158/12),Constants!$A:$A,0))=0,0,INDEX(Constants!I:I,MATCH(($I158/12),Constants!$A:$A,0)))),0),"")</f>
        <v/>
      </c>
      <c r="AY158" s="146" t="str">
        <f>IFERROR(_xlfn.IFNA(IF($BA158="No",0,IF(INDEX(Constants!J:J,MATCH(($I158/12),Constants!$A:$A,0))=0,0,INDEX(Constants!J:J,MATCH(($I158/12),Constants!$A:$A,0)))),0),"")</f>
        <v/>
      </c>
      <c r="AZ158" s="146" t="str">
        <f>IFERROR(_xlfn.IFNA(IF($BA158="No",0,IF(INDEX(Constants!K:K,MATCH(($I158/12),Constants!$A:$A,0))=0,0,INDEX(Constants!K:K,MATCH(($I158/12),Constants!$A:$A,0)))),0),"")</f>
        <v/>
      </c>
      <c r="BA158" s="147" t="str">
        <f>_xlfn.IFNA(INDEX(Producer!$L:$L,MATCH($D158,Producer!$A:$A,0)),"")</f>
        <v/>
      </c>
      <c r="BB158" s="146" t="str">
        <f>IFERROR(IF(AQ158=0,"",IF(($I158/12)=15,_xlfn.CONCAT(Constants!$N$7,TEXT(DATE(YEAR(H158)-(($I158/12)-3),MONTH(H158),DAY(H158)),"dd/mm/yyyy"),", ",Constants!$P$7,TEXT(DATE(YEAR(H158)-(($I158/12)-8),MONTH(H158),DAY(H158)),"dd/mm/yyyy"),", ",Constants!$T$7,TEXT(DATE(YEAR(H158)-(($I158/12)-11),MONTH(H158),DAY(H158)),"dd/mm/yyyy"),", ",Constants!$V$7,TEXT(DATE(YEAR(H158)-(($I158/12)-13),MONTH(H158),DAY(H158)),"dd/mm/yyyy"),", ",Constants!$W$7,TEXT($H158,"dd/mm/yyyy")),IF(($I158/12)=10,_xlfn.CONCAT(Constants!$N$6,TEXT(DATE(YEAR(H158)-(($I158/12)-2),MONTH(H158),DAY(H158)),"dd/mm/yyyy"),", ",Constants!$P$6,TEXT(DATE(YEAR(H158)-(($I158/12)-6),MONTH(H158),DAY(H158)),"dd/mm/yyyy"),", ",Constants!$T$6,TEXT(DATE(YEAR(H158)-(($I158/12)-8),MONTH(H158),DAY(H158)),"dd/mm/yyyy"),", ",Constants!$V$6,TEXT(DATE(YEAR(H158)-(($I158/12)-9),MONTH(H158),DAY(H158)),"dd/mm/yyyy"),", ",Constants!$W$6,TEXT($H158,"dd/mm/yyyy")),IF(($I158/12)=5,_xlfn.CONCAT(Constants!$N$5,TEXT(DATE(YEAR(H158)-(($I158/12)-1),MONTH(H158),DAY(H158)),"dd/mm/yyyy"),", ",Constants!$O$5,TEXT(DATE(YEAR(H158)-(($I158/12)-2),MONTH(H158),DAY(H158)),"dd/mm/yyyy"),", ",Constants!$P$5,TEXT(DATE(YEAR(H158)-(($I158/12)-3),MONTH(H158),DAY(H158)),"dd/mm/yyyy"),", ",Constants!$Q$5,TEXT(DATE(YEAR(H158)-(($I158/12)-4),MONTH(H158),DAY(H158)),"dd/mm/yyyy"),", ",Constants!$R$5,TEXT($H158,"dd/mm/yyyy")),IF(($I158/12)=3,_xlfn.CONCAT(Constants!$N$4,TEXT(DATE(YEAR(H158)-(($I158/12)-1),MONTH(H158),DAY(H158)),"dd/mm/yyyy"),", ",Constants!$O$4,TEXT(DATE(YEAR(H158)-(($I158/12)-2),MONTH(H158),DAY(H158)),"dd/mm/yyyy"),", ",Constants!$P$4,TEXT($H158,"dd/mm/yyyy")),IF(($I158/12)=2,_xlfn.CONCAT(Constants!$N$3,TEXT(DATE(YEAR(H158)-(($I158/12)-1),MONTH(H158),DAY(H158)),"dd/mm/yyyy"),", ",Constants!$O$3,TEXT($H158,"dd/mm/yyyy")),IF(($I158/12)=1,_xlfn.CONCAT(Constants!$N$2,TEXT($H158,"dd/mm/yyyy")),"Update Constants"))))))),"")</f>
        <v/>
      </c>
      <c r="BC158" s="147" t="str">
        <f>_xlfn.IFNA(VALUE(INDEX(Producer!$K:$K,MATCH($D158,Producer!$A:$A,0))),"")</f>
        <v/>
      </c>
      <c r="BD158" s="147" t="str">
        <f>_xlfn.IFNA(INDEX(Producer!$I:$I,MATCH($D158,Producer!$A:$A,0)),"")</f>
        <v/>
      </c>
      <c r="BE158" s="147" t="str">
        <f t="shared" si="64"/>
        <v/>
      </c>
      <c r="BF158" s="147"/>
      <c r="BG158" s="147"/>
      <c r="BH158" s="151" t="str">
        <f>_xlfn.IFNA(INDEX(Constants!$B:$B,MATCH(BC158,Constants!A:A,0)),"")</f>
        <v/>
      </c>
      <c r="BI158" s="147" t="str">
        <f>IF(LEFT(B158,15)="Limited Company",Constants!$D$16,IFERROR(_xlfn.IFNA(IF(C158="Residential",IF(BK158&lt;75,INDEX(Constants!$B:$B,MATCH(VALUE(60)/100,Constants!$A:$A,0)),INDEX(Constants!$B:$B,MATCH(VALUE(BK158)/100,Constants!$A:$A,0))),IF(BK158&lt;60,INDEX(Constants!$C:$C,MATCH(VALUE(60)/100,Constants!$A:$A,0)),INDEX(Constants!$C:$C,MATCH(VALUE(BK158)/100,Constants!$A:$A,0)))),""),""))</f>
        <v/>
      </c>
      <c r="BJ158" s="147" t="str">
        <f t="shared" si="65"/>
        <v/>
      </c>
      <c r="BK158" s="147" t="str">
        <f>_xlfn.IFNA(VALUE(INDEX(Producer!$E:$E,MATCH($D158,Producer!$A:$A,0)))*100,"")</f>
        <v/>
      </c>
      <c r="BL158" s="146" t="str">
        <f>_xlfn.IFNA(IF(IFERROR(FIND("Part &amp; Part",B158),-10)&gt;0,"PP",IF(OR(LEFT(B158,25)="Residential Interest Only",INDEX(Producer!$P:$P,MATCH($D158,Producer!$A:$A,0))="IO",INDEX(Producer!$P:$P,MATCH($D158,Producer!$A:$A,0))="Retirement Interest Only"),"IO",IF($C158="BuyToLet","CI, IO","CI"))),"")</f>
        <v/>
      </c>
      <c r="BM158" s="152" t="str">
        <f>_xlfn.IFNA(IF(BL158="IO",100%,IF(AND(INDEX(Producer!$P:$P,MATCH($D158,Producer!$A:$A,0))="Residential Interest Only Part &amp; Part",BK158=75),80%,IF(C158="BuyToLet",100%,IF(BL158="Interest Only",100%,IF(AND(INDEX(Producer!$P:$P,MATCH($D158,Producer!$A:$A,0))="Residential Interest Only Part &amp; Part",BK158=60),100%,""))))),"")</f>
        <v/>
      </c>
      <c r="BN158" s="218" t="str">
        <f>_xlfn.IFNA(IF(VALUE(INDEX(Producer!$H:$H,MATCH($D158,Producer!$A:$A,0)))=0,"",VALUE(INDEX(Producer!$H:$H,MATCH($D158,Producer!$A:$A,0)))),"")</f>
        <v/>
      </c>
      <c r="BO158" s="153"/>
      <c r="BP158" s="153"/>
      <c r="BQ158" s="219" t="str">
        <f t="shared" si="66"/>
        <v/>
      </c>
      <c r="BR158" s="146"/>
      <c r="BS158" s="146"/>
      <c r="BT158" s="146"/>
      <c r="BU158" s="146"/>
      <c r="BV158" s="219" t="str">
        <f t="shared" si="67"/>
        <v/>
      </c>
      <c r="BW158" s="146"/>
      <c r="BX158" s="146"/>
      <c r="BY158" s="146" t="str">
        <f t="shared" si="68"/>
        <v/>
      </c>
      <c r="BZ158" s="146" t="str">
        <f t="shared" si="69"/>
        <v/>
      </c>
      <c r="CA158" s="146" t="str">
        <f t="shared" si="70"/>
        <v/>
      </c>
      <c r="CB158" s="146" t="str">
        <f t="shared" si="71"/>
        <v/>
      </c>
      <c r="CC158" s="146" t="str">
        <f>_xlfn.IFNA(IF(INDEX(Producer!$P:$P,MATCH($D158,Producer!$A:$A,0))="Help to Buy","Only available","No"),"")</f>
        <v/>
      </c>
      <c r="CD158" s="146" t="str">
        <f>_xlfn.IFNA(IF(INDEX(Producer!$P:$P,MATCH($D158,Producer!$A:$A,0))="Shared Ownership","Only available","No"),"")</f>
        <v/>
      </c>
      <c r="CE158" s="146" t="str">
        <f>_xlfn.IFNA(IF(INDEX(Producer!$P:$P,MATCH($D158,Producer!$A:$A,0))="Right to Buy","Only available","No"),"")</f>
        <v/>
      </c>
      <c r="CF158" s="146" t="str">
        <f t="shared" si="72"/>
        <v/>
      </c>
      <c r="CG158" s="146" t="str">
        <f>_xlfn.IFNA(IF(INDEX(Producer!$P:$P,MATCH($D158,Producer!$A:$A,0))="Retirement Interest Only","Only available","No"),"")</f>
        <v/>
      </c>
      <c r="CH158" s="146" t="str">
        <f t="shared" si="73"/>
        <v/>
      </c>
      <c r="CI158" s="146" t="str">
        <f>_xlfn.IFNA(IF(INDEX(Producer!$P:$P,MATCH($D158,Producer!$A:$A,0))="Intermediary Holiday Let","Only available","No"),"")</f>
        <v/>
      </c>
      <c r="CJ158" s="146" t="str">
        <f t="shared" si="74"/>
        <v/>
      </c>
      <c r="CK158" s="146" t="str">
        <f>_xlfn.IFNA(IF(OR(INDEX(Producer!$P:$P,MATCH($D158,Producer!$A:$A,0))="Intermediary Small HMO",INDEX(Producer!$P:$P,MATCH($D158,Producer!$A:$A,0))="Intermediary Large HMO"),"Only available","No"),"")</f>
        <v/>
      </c>
      <c r="CL158" s="146" t="str">
        <f t="shared" si="75"/>
        <v/>
      </c>
      <c r="CM158" s="146" t="str">
        <f t="shared" si="76"/>
        <v/>
      </c>
      <c r="CN158" s="146" t="str">
        <f t="shared" si="77"/>
        <v/>
      </c>
      <c r="CO158" s="146" t="str">
        <f t="shared" si="78"/>
        <v/>
      </c>
      <c r="CP158" s="146" t="str">
        <f t="shared" si="79"/>
        <v/>
      </c>
      <c r="CQ158" s="146" t="str">
        <f t="shared" si="80"/>
        <v/>
      </c>
      <c r="CR158" s="146" t="str">
        <f t="shared" si="81"/>
        <v/>
      </c>
      <c r="CS158" s="146" t="str">
        <f t="shared" si="82"/>
        <v/>
      </c>
      <c r="CT158" s="146" t="str">
        <f t="shared" si="83"/>
        <v/>
      </c>
      <c r="CU158" s="146"/>
    </row>
    <row r="159" spans="1:99" ht="16.399999999999999" customHeight="1" x14ac:dyDescent="0.35">
      <c r="A159" s="145" t="str">
        <f t="shared" si="56"/>
        <v/>
      </c>
      <c r="B159" s="145" t="str">
        <f>_xlfn.IFNA(_xlfn.CONCAT(INDEX(Producer!$P:$P,MATCH($D159,Producer!$A:$A,0))," ",IF(INDEX(Producer!$N:$N,MATCH($D159,Producer!$A:$A,0))="Yes","Green ",""),IF(AND(INDEX(Producer!$L:$L,MATCH($D159,Producer!$A:$A,0))="No",INDEX(Producer!$C:$C,MATCH($D159,Producer!$A:$A,0))="Fixed"),"Flexit ",""),INDEX(Producer!$B:$B,MATCH($D159,Producer!$A:$A,0))," Year ",INDEX(Producer!$C:$C,MATCH($D159,Producer!$A:$A,0))," ",VALUE(INDEX(Producer!$E:$E,MATCH($D159,Producer!$A:$A,0)))*100,"% LTV",IF(INDEX(Producer!$N:$N,MATCH($D159,Producer!$A:$A,0))="Yes"," (EPC A-C)","")," - ",IF(INDEX(Producer!$D:$D,MATCH($D159,Producer!$A:$A,0))="DLY","Daily","Annual")),"")</f>
        <v/>
      </c>
      <c r="C159" s="146" t="str">
        <f>_xlfn.IFNA(INDEX(Producer!$Q:$Q,MATCH($D159,Producer!$A:$A,0)),"")</f>
        <v/>
      </c>
      <c r="D159" s="146" t="str">
        <f>IFERROR(VALUE(MID(Producer!$R$2,IF($D158="",1/0,FIND(_xlfn.CONCAT($D157,$D158),Producer!$R$2)+10),5)),"")</f>
        <v/>
      </c>
      <c r="E159" s="146" t="str">
        <f t="shared" si="57"/>
        <v/>
      </c>
      <c r="F159" s="146"/>
      <c r="G159" s="147" t="str">
        <f>_xlfn.IFNA(VALUE(INDEX(Producer!$F:$F,MATCH($D159,Producer!$A:$A,0)))*100,"")</f>
        <v/>
      </c>
      <c r="H159" s="216" t="str">
        <f>_xlfn.IFNA(IFERROR(DATEVALUE(INDEX(Producer!$M:$M,MATCH($D159,Producer!$A:$A,0))),(INDEX(Producer!$M:$M,MATCH($D159,Producer!$A:$A,0)))),"")</f>
        <v/>
      </c>
      <c r="I159" s="217" t="str">
        <f>_xlfn.IFNA(VALUE(INDEX(Producer!$B:$B,MATCH($D159,Producer!$A:$A,0)))*12,"")</f>
        <v/>
      </c>
      <c r="J159" s="146" t="str">
        <f>_xlfn.IFNA(IF(C159="Residential",IF(VALUE(INDEX(Producer!$B:$B,MATCH($D159,Producer!$A:$A,0)))&lt;5,Constants!$C$10,""),IF(VALUE(INDEX(Producer!$B:$B,MATCH($D159,Producer!$A:$A,0)))&lt;5,Constants!$C$11,"")),"")</f>
        <v/>
      </c>
      <c r="K159" s="216" t="str">
        <f>_xlfn.IFNA(IF(($I159)&lt;60,DATE(YEAR(H159)+(5-VALUE(INDEX(Producer!$B:$B,MATCH($D159,Producer!$A:$A,0)))),MONTH(H159),DAY(H159)),""),"")</f>
        <v/>
      </c>
      <c r="L159" s="153" t="str">
        <f t="shared" si="58"/>
        <v/>
      </c>
      <c r="M159" s="146"/>
      <c r="N159" s="148"/>
      <c r="O159" s="148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6"/>
      <c r="AJ159" s="146"/>
      <c r="AK159" s="146" t="str">
        <f>IF(D159="","",IF(C159="Residential",Constants!$B$10,Constants!$B$11))</f>
        <v/>
      </c>
      <c r="AL159" s="146" t="str">
        <f t="shared" si="59"/>
        <v/>
      </c>
      <c r="AM159" s="206" t="str">
        <f t="shared" si="60"/>
        <v/>
      </c>
      <c r="AN159" s="146" t="str">
        <f t="shared" si="61"/>
        <v/>
      </c>
      <c r="AO159" s="149" t="str">
        <f t="shared" si="62"/>
        <v/>
      </c>
      <c r="AP159" s="150" t="str">
        <f t="shared" si="63"/>
        <v/>
      </c>
      <c r="AQ159" s="146" t="str">
        <f>IFERROR(_xlfn.IFNA(IF($BA159="No",0,IF(INDEX(Constants!B:B,MATCH(($I159/12),Constants!$A:$A,0))=0,0,INDEX(Constants!B:B,MATCH(($I159/12),Constants!$A:$A,0)))),0),"")</f>
        <v/>
      </c>
      <c r="AR159" s="146" t="str">
        <f>IFERROR(_xlfn.IFNA(IF($BA159="No",0,IF(INDEX(Constants!C:C,MATCH(($I159/12),Constants!$A:$A,0))=0,0,INDEX(Constants!C:C,MATCH(($I159/12),Constants!$A:$A,0)))),0),"")</f>
        <v/>
      </c>
      <c r="AS159" s="146" t="str">
        <f>IFERROR(_xlfn.IFNA(IF($BA159="No",0,IF(INDEX(Constants!D:D,MATCH(($I159/12),Constants!$A:$A,0))=0,0,INDEX(Constants!D:D,MATCH(($I159/12),Constants!$A:$A,0)))),0),"")</f>
        <v/>
      </c>
      <c r="AT159" s="146" t="str">
        <f>IFERROR(_xlfn.IFNA(IF($BA159="No",0,IF(INDEX(Constants!E:E,MATCH(($I159/12),Constants!$A:$A,0))=0,0,INDEX(Constants!E:E,MATCH(($I159/12),Constants!$A:$A,0)))),0),"")</f>
        <v/>
      </c>
      <c r="AU159" s="146" t="str">
        <f>IFERROR(_xlfn.IFNA(IF($BA159="No",0,IF(INDEX(Constants!F:F,MATCH(($I159/12),Constants!$A:$A,0))=0,0,INDEX(Constants!F:F,MATCH(($I159/12),Constants!$A:$A,0)))),0),"")</f>
        <v/>
      </c>
      <c r="AV159" s="146" t="str">
        <f>IFERROR(_xlfn.IFNA(IF($BA159="No",0,IF(INDEX(Constants!G:G,MATCH(($I159/12),Constants!$A:$A,0))=0,0,INDEX(Constants!G:G,MATCH(($I159/12),Constants!$A:$A,0)))),0),"")</f>
        <v/>
      </c>
      <c r="AW159" s="146" t="str">
        <f>IFERROR(_xlfn.IFNA(IF($BA159="No",0,IF(INDEX(Constants!H:H,MATCH(($I159/12),Constants!$A:$A,0))=0,0,INDEX(Constants!H:H,MATCH(($I159/12),Constants!$A:$A,0)))),0),"")</f>
        <v/>
      </c>
      <c r="AX159" s="146" t="str">
        <f>IFERROR(_xlfn.IFNA(IF($BA159="No",0,IF(INDEX(Constants!I:I,MATCH(($I159/12),Constants!$A:$A,0))=0,0,INDEX(Constants!I:I,MATCH(($I159/12),Constants!$A:$A,0)))),0),"")</f>
        <v/>
      </c>
      <c r="AY159" s="146" t="str">
        <f>IFERROR(_xlfn.IFNA(IF($BA159="No",0,IF(INDEX(Constants!J:J,MATCH(($I159/12),Constants!$A:$A,0))=0,0,INDEX(Constants!J:J,MATCH(($I159/12),Constants!$A:$A,0)))),0),"")</f>
        <v/>
      </c>
      <c r="AZ159" s="146" t="str">
        <f>IFERROR(_xlfn.IFNA(IF($BA159="No",0,IF(INDEX(Constants!K:K,MATCH(($I159/12),Constants!$A:$A,0))=0,0,INDEX(Constants!K:K,MATCH(($I159/12),Constants!$A:$A,0)))),0),"")</f>
        <v/>
      </c>
      <c r="BA159" s="147" t="str">
        <f>_xlfn.IFNA(INDEX(Producer!$L:$L,MATCH($D159,Producer!$A:$A,0)),"")</f>
        <v/>
      </c>
      <c r="BB159" s="146" t="str">
        <f>IFERROR(IF(AQ159=0,"",IF(($I159/12)=15,_xlfn.CONCAT(Constants!$N$7,TEXT(DATE(YEAR(H159)-(($I159/12)-3),MONTH(H159),DAY(H159)),"dd/mm/yyyy"),", ",Constants!$P$7,TEXT(DATE(YEAR(H159)-(($I159/12)-8),MONTH(H159),DAY(H159)),"dd/mm/yyyy"),", ",Constants!$T$7,TEXT(DATE(YEAR(H159)-(($I159/12)-11),MONTH(H159),DAY(H159)),"dd/mm/yyyy"),", ",Constants!$V$7,TEXT(DATE(YEAR(H159)-(($I159/12)-13),MONTH(H159),DAY(H159)),"dd/mm/yyyy"),", ",Constants!$W$7,TEXT($H159,"dd/mm/yyyy")),IF(($I159/12)=10,_xlfn.CONCAT(Constants!$N$6,TEXT(DATE(YEAR(H159)-(($I159/12)-2),MONTH(H159),DAY(H159)),"dd/mm/yyyy"),", ",Constants!$P$6,TEXT(DATE(YEAR(H159)-(($I159/12)-6),MONTH(H159),DAY(H159)),"dd/mm/yyyy"),", ",Constants!$T$6,TEXT(DATE(YEAR(H159)-(($I159/12)-8),MONTH(H159),DAY(H159)),"dd/mm/yyyy"),", ",Constants!$V$6,TEXT(DATE(YEAR(H159)-(($I159/12)-9),MONTH(H159),DAY(H159)),"dd/mm/yyyy"),", ",Constants!$W$6,TEXT($H159,"dd/mm/yyyy")),IF(($I159/12)=5,_xlfn.CONCAT(Constants!$N$5,TEXT(DATE(YEAR(H159)-(($I159/12)-1),MONTH(H159),DAY(H159)),"dd/mm/yyyy"),", ",Constants!$O$5,TEXT(DATE(YEAR(H159)-(($I159/12)-2),MONTH(H159),DAY(H159)),"dd/mm/yyyy"),", ",Constants!$P$5,TEXT(DATE(YEAR(H159)-(($I159/12)-3),MONTH(H159),DAY(H159)),"dd/mm/yyyy"),", ",Constants!$Q$5,TEXT(DATE(YEAR(H159)-(($I159/12)-4),MONTH(H159),DAY(H159)),"dd/mm/yyyy"),", ",Constants!$R$5,TEXT($H159,"dd/mm/yyyy")),IF(($I159/12)=3,_xlfn.CONCAT(Constants!$N$4,TEXT(DATE(YEAR(H159)-(($I159/12)-1),MONTH(H159),DAY(H159)),"dd/mm/yyyy"),", ",Constants!$O$4,TEXT(DATE(YEAR(H159)-(($I159/12)-2),MONTH(H159),DAY(H159)),"dd/mm/yyyy"),", ",Constants!$P$4,TEXT($H159,"dd/mm/yyyy")),IF(($I159/12)=2,_xlfn.CONCAT(Constants!$N$3,TEXT(DATE(YEAR(H159)-(($I159/12)-1),MONTH(H159),DAY(H159)),"dd/mm/yyyy"),", ",Constants!$O$3,TEXT($H159,"dd/mm/yyyy")),IF(($I159/12)=1,_xlfn.CONCAT(Constants!$N$2,TEXT($H159,"dd/mm/yyyy")),"Update Constants"))))))),"")</f>
        <v/>
      </c>
      <c r="BC159" s="147" t="str">
        <f>_xlfn.IFNA(VALUE(INDEX(Producer!$K:$K,MATCH($D159,Producer!$A:$A,0))),"")</f>
        <v/>
      </c>
      <c r="BD159" s="147" t="str">
        <f>_xlfn.IFNA(INDEX(Producer!$I:$I,MATCH($D159,Producer!$A:$A,0)),"")</f>
        <v/>
      </c>
      <c r="BE159" s="147" t="str">
        <f t="shared" si="64"/>
        <v/>
      </c>
      <c r="BF159" s="147"/>
      <c r="BG159" s="147"/>
      <c r="BH159" s="151" t="str">
        <f>_xlfn.IFNA(INDEX(Constants!$B:$B,MATCH(BC159,Constants!A:A,0)),"")</f>
        <v/>
      </c>
      <c r="BI159" s="147" t="str">
        <f>IF(LEFT(B159,15)="Limited Company",Constants!$D$16,IFERROR(_xlfn.IFNA(IF(C159="Residential",IF(BK159&lt;75,INDEX(Constants!$B:$B,MATCH(VALUE(60)/100,Constants!$A:$A,0)),INDEX(Constants!$B:$B,MATCH(VALUE(BK159)/100,Constants!$A:$A,0))),IF(BK159&lt;60,INDEX(Constants!$C:$C,MATCH(VALUE(60)/100,Constants!$A:$A,0)),INDEX(Constants!$C:$C,MATCH(VALUE(BK159)/100,Constants!$A:$A,0)))),""),""))</f>
        <v/>
      </c>
      <c r="BJ159" s="147" t="str">
        <f t="shared" si="65"/>
        <v/>
      </c>
      <c r="BK159" s="147" t="str">
        <f>_xlfn.IFNA(VALUE(INDEX(Producer!$E:$E,MATCH($D159,Producer!$A:$A,0)))*100,"")</f>
        <v/>
      </c>
      <c r="BL159" s="146" t="str">
        <f>_xlfn.IFNA(IF(IFERROR(FIND("Part &amp; Part",B159),-10)&gt;0,"PP",IF(OR(LEFT(B159,25)="Residential Interest Only",INDEX(Producer!$P:$P,MATCH($D159,Producer!$A:$A,0))="IO",INDEX(Producer!$P:$P,MATCH($D159,Producer!$A:$A,0))="Retirement Interest Only"),"IO",IF($C159="BuyToLet","CI, IO","CI"))),"")</f>
        <v/>
      </c>
      <c r="BM159" s="152" t="str">
        <f>_xlfn.IFNA(IF(BL159="IO",100%,IF(AND(INDEX(Producer!$P:$P,MATCH($D159,Producer!$A:$A,0))="Residential Interest Only Part &amp; Part",BK159=75),80%,IF(C159="BuyToLet",100%,IF(BL159="Interest Only",100%,IF(AND(INDEX(Producer!$P:$P,MATCH($D159,Producer!$A:$A,0))="Residential Interest Only Part &amp; Part",BK159=60),100%,""))))),"")</f>
        <v/>
      </c>
      <c r="BN159" s="218" t="str">
        <f>_xlfn.IFNA(IF(VALUE(INDEX(Producer!$H:$H,MATCH($D159,Producer!$A:$A,0)))=0,"",VALUE(INDEX(Producer!$H:$H,MATCH($D159,Producer!$A:$A,0)))),"")</f>
        <v/>
      </c>
      <c r="BO159" s="153"/>
      <c r="BP159" s="153"/>
      <c r="BQ159" s="219" t="str">
        <f t="shared" si="66"/>
        <v/>
      </c>
      <c r="BR159" s="146"/>
      <c r="BS159" s="146"/>
      <c r="BT159" s="146"/>
      <c r="BU159" s="146"/>
      <c r="BV159" s="219" t="str">
        <f t="shared" si="67"/>
        <v/>
      </c>
      <c r="BW159" s="146"/>
      <c r="BX159" s="146"/>
      <c r="BY159" s="146" t="str">
        <f t="shared" si="68"/>
        <v/>
      </c>
      <c r="BZ159" s="146" t="str">
        <f t="shared" si="69"/>
        <v/>
      </c>
      <c r="CA159" s="146" t="str">
        <f t="shared" si="70"/>
        <v/>
      </c>
      <c r="CB159" s="146" t="str">
        <f t="shared" si="71"/>
        <v/>
      </c>
      <c r="CC159" s="146" t="str">
        <f>_xlfn.IFNA(IF(INDEX(Producer!$P:$P,MATCH($D159,Producer!$A:$A,0))="Help to Buy","Only available","No"),"")</f>
        <v/>
      </c>
      <c r="CD159" s="146" t="str">
        <f>_xlfn.IFNA(IF(INDEX(Producer!$P:$P,MATCH($D159,Producer!$A:$A,0))="Shared Ownership","Only available","No"),"")</f>
        <v/>
      </c>
      <c r="CE159" s="146" t="str">
        <f>_xlfn.IFNA(IF(INDEX(Producer!$P:$P,MATCH($D159,Producer!$A:$A,0))="Right to Buy","Only available","No"),"")</f>
        <v/>
      </c>
      <c r="CF159" s="146" t="str">
        <f t="shared" si="72"/>
        <v/>
      </c>
      <c r="CG159" s="146" t="str">
        <f>_xlfn.IFNA(IF(INDEX(Producer!$P:$P,MATCH($D159,Producer!$A:$A,0))="Retirement Interest Only","Only available","No"),"")</f>
        <v/>
      </c>
      <c r="CH159" s="146" t="str">
        <f t="shared" si="73"/>
        <v/>
      </c>
      <c r="CI159" s="146" t="str">
        <f>_xlfn.IFNA(IF(INDEX(Producer!$P:$P,MATCH($D159,Producer!$A:$A,0))="Intermediary Holiday Let","Only available","No"),"")</f>
        <v/>
      </c>
      <c r="CJ159" s="146" t="str">
        <f t="shared" si="74"/>
        <v/>
      </c>
      <c r="CK159" s="146" t="str">
        <f>_xlfn.IFNA(IF(OR(INDEX(Producer!$P:$P,MATCH($D159,Producer!$A:$A,0))="Intermediary Small HMO",INDEX(Producer!$P:$P,MATCH($D159,Producer!$A:$A,0))="Intermediary Large HMO"),"Only available","No"),"")</f>
        <v/>
      </c>
      <c r="CL159" s="146" t="str">
        <f t="shared" si="75"/>
        <v/>
      </c>
      <c r="CM159" s="146" t="str">
        <f t="shared" si="76"/>
        <v/>
      </c>
      <c r="CN159" s="146" t="str">
        <f t="shared" si="77"/>
        <v/>
      </c>
      <c r="CO159" s="146" t="str">
        <f t="shared" si="78"/>
        <v/>
      </c>
      <c r="CP159" s="146" t="str">
        <f t="shared" si="79"/>
        <v/>
      </c>
      <c r="CQ159" s="146" t="str">
        <f t="shared" si="80"/>
        <v/>
      </c>
      <c r="CR159" s="146" t="str">
        <f t="shared" si="81"/>
        <v/>
      </c>
      <c r="CS159" s="146" t="str">
        <f t="shared" si="82"/>
        <v/>
      </c>
      <c r="CT159" s="146" t="str">
        <f t="shared" si="83"/>
        <v/>
      </c>
      <c r="CU159" s="146"/>
    </row>
    <row r="160" spans="1:99" ht="16.399999999999999" customHeight="1" x14ac:dyDescent="0.35">
      <c r="A160" s="145" t="str">
        <f t="shared" si="56"/>
        <v/>
      </c>
      <c r="B160" s="145" t="str">
        <f>_xlfn.IFNA(_xlfn.CONCAT(INDEX(Producer!$P:$P,MATCH($D160,Producer!$A:$A,0))," ",IF(INDEX(Producer!$N:$N,MATCH($D160,Producer!$A:$A,0))="Yes","Green ",""),IF(AND(INDEX(Producer!$L:$L,MATCH($D160,Producer!$A:$A,0))="No",INDEX(Producer!$C:$C,MATCH($D160,Producer!$A:$A,0))="Fixed"),"Flexit ",""),INDEX(Producer!$B:$B,MATCH($D160,Producer!$A:$A,0))," Year ",INDEX(Producer!$C:$C,MATCH($D160,Producer!$A:$A,0))," ",VALUE(INDEX(Producer!$E:$E,MATCH($D160,Producer!$A:$A,0)))*100,"% LTV",IF(INDEX(Producer!$N:$N,MATCH($D160,Producer!$A:$A,0))="Yes"," (EPC A-C)","")," - ",IF(INDEX(Producer!$D:$D,MATCH($D160,Producer!$A:$A,0))="DLY","Daily","Annual")),"")</f>
        <v/>
      </c>
      <c r="C160" s="146" t="str">
        <f>_xlfn.IFNA(INDEX(Producer!$Q:$Q,MATCH($D160,Producer!$A:$A,0)),"")</f>
        <v/>
      </c>
      <c r="D160" s="146" t="str">
        <f>IFERROR(VALUE(MID(Producer!$R$2,IF($D159="",1/0,FIND(_xlfn.CONCAT($D158,$D159),Producer!$R$2)+10),5)),"")</f>
        <v/>
      </c>
      <c r="E160" s="146" t="str">
        <f t="shared" si="57"/>
        <v/>
      </c>
      <c r="F160" s="146"/>
      <c r="G160" s="147" t="str">
        <f>_xlfn.IFNA(VALUE(INDEX(Producer!$F:$F,MATCH($D160,Producer!$A:$A,0)))*100,"")</f>
        <v/>
      </c>
      <c r="H160" s="216" t="str">
        <f>_xlfn.IFNA(IFERROR(DATEVALUE(INDEX(Producer!$M:$M,MATCH($D160,Producer!$A:$A,0))),(INDEX(Producer!$M:$M,MATCH($D160,Producer!$A:$A,0)))),"")</f>
        <v/>
      </c>
      <c r="I160" s="217" t="str">
        <f>_xlfn.IFNA(VALUE(INDEX(Producer!$B:$B,MATCH($D160,Producer!$A:$A,0)))*12,"")</f>
        <v/>
      </c>
      <c r="J160" s="146" t="str">
        <f>_xlfn.IFNA(IF(C160="Residential",IF(VALUE(INDEX(Producer!$B:$B,MATCH($D160,Producer!$A:$A,0)))&lt;5,Constants!$C$10,""),IF(VALUE(INDEX(Producer!$B:$B,MATCH($D160,Producer!$A:$A,0)))&lt;5,Constants!$C$11,"")),"")</f>
        <v/>
      </c>
      <c r="K160" s="216" t="str">
        <f>_xlfn.IFNA(IF(($I160)&lt;60,DATE(YEAR(H160)+(5-VALUE(INDEX(Producer!$B:$B,MATCH($D160,Producer!$A:$A,0)))),MONTH(H160),DAY(H160)),""),"")</f>
        <v/>
      </c>
      <c r="L160" s="153" t="str">
        <f t="shared" si="58"/>
        <v/>
      </c>
      <c r="M160" s="146"/>
      <c r="N160" s="148"/>
      <c r="O160" s="148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6"/>
      <c r="AK160" s="146" t="str">
        <f>IF(D160="","",IF(C160="Residential",Constants!$B$10,Constants!$B$11))</f>
        <v/>
      </c>
      <c r="AL160" s="146" t="str">
        <f t="shared" si="59"/>
        <v/>
      </c>
      <c r="AM160" s="206" t="str">
        <f t="shared" si="60"/>
        <v/>
      </c>
      <c r="AN160" s="146" t="str">
        <f t="shared" si="61"/>
        <v/>
      </c>
      <c r="AO160" s="149" t="str">
        <f t="shared" si="62"/>
        <v/>
      </c>
      <c r="AP160" s="150" t="str">
        <f t="shared" si="63"/>
        <v/>
      </c>
      <c r="AQ160" s="146" t="str">
        <f>IFERROR(_xlfn.IFNA(IF($BA160="No",0,IF(INDEX(Constants!B:B,MATCH(($I160/12),Constants!$A:$A,0))=0,0,INDEX(Constants!B:B,MATCH(($I160/12),Constants!$A:$A,0)))),0),"")</f>
        <v/>
      </c>
      <c r="AR160" s="146" t="str">
        <f>IFERROR(_xlfn.IFNA(IF($BA160="No",0,IF(INDEX(Constants!C:C,MATCH(($I160/12),Constants!$A:$A,0))=0,0,INDEX(Constants!C:C,MATCH(($I160/12),Constants!$A:$A,0)))),0),"")</f>
        <v/>
      </c>
      <c r="AS160" s="146" t="str">
        <f>IFERROR(_xlfn.IFNA(IF($BA160="No",0,IF(INDEX(Constants!D:D,MATCH(($I160/12),Constants!$A:$A,0))=0,0,INDEX(Constants!D:D,MATCH(($I160/12),Constants!$A:$A,0)))),0),"")</f>
        <v/>
      </c>
      <c r="AT160" s="146" t="str">
        <f>IFERROR(_xlfn.IFNA(IF($BA160="No",0,IF(INDEX(Constants!E:E,MATCH(($I160/12),Constants!$A:$A,0))=0,0,INDEX(Constants!E:E,MATCH(($I160/12),Constants!$A:$A,0)))),0),"")</f>
        <v/>
      </c>
      <c r="AU160" s="146" t="str">
        <f>IFERROR(_xlfn.IFNA(IF($BA160="No",0,IF(INDEX(Constants!F:F,MATCH(($I160/12),Constants!$A:$A,0))=0,0,INDEX(Constants!F:F,MATCH(($I160/12),Constants!$A:$A,0)))),0),"")</f>
        <v/>
      </c>
      <c r="AV160" s="146" t="str">
        <f>IFERROR(_xlfn.IFNA(IF($BA160="No",0,IF(INDEX(Constants!G:G,MATCH(($I160/12),Constants!$A:$A,0))=0,0,INDEX(Constants!G:G,MATCH(($I160/12),Constants!$A:$A,0)))),0),"")</f>
        <v/>
      </c>
      <c r="AW160" s="146" t="str">
        <f>IFERROR(_xlfn.IFNA(IF($BA160="No",0,IF(INDEX(Constants!H:H,MATCH(($I160/12),Constants!$A:$A,0))=0,0,INDEX(Constants!H:H,MATCH(($I160/12),Constants!$A:$A,0)))),0),"")</f>
        <v/>
      </c>
      <c r="AX160" s="146" t="str">
        <f>IFERROR(_xlfn.IFNA(IF($BA160="No",0,IF(INDEX(Constants!I:I,MATCH(($I160/12),Constants!$A:$A,0))=0,0,INDEX(Constants!I:I,MATCH(($I160/12),Constants!$A:$A,0)))),0),"")</f>
        <v/>
      </c>
      <c r="AY160" s="146" t="str">
        <f>IFERROR(_xlfn.IFNA(IF($BA160="No",0,IF(INDEX(Constants!J:J,MATCH(($I160/12),Constants!$A:$A,0))=0,0,INDEX(Constants!J:J,MATCH(($I160/12),Constants!$A:$A,0)))),0),"")</f>
        <v/>
      </c>
      <c r="AZ160" s="146" t="str">
        <f>IFERROR(_xlfn.IFNA(IF($BA160="No",0,IF(INDEX(Constants!K:K,MATCH(($I160/12),Constants!$A:$A,0))=0,0,INDEX(Constants!K:K,MATCH(($I160/12),Constants!$A:$A,0)))),0),"")</f>
        <v/>
      </c>
      <c r="BA160" s="147" t="str">
        <f>_xlfn.IFNA(INDEX(Producer!$L:$L,MATCH($D160,Producer!$A:$A,0)),"")</f>
        <v/>
      </c>
      <c r="BB160" s="146" t="str">
        <f>IFERROR(IF(AQ160=0,"",IF(($I160/12)=15,_xlfn.CONCAT(Constants!$N$7,TEXT(DATE(YEAR(H160)-(($I160/12)-3),MONTH(H160),DAY(H160)),"dd/mm/yyyy"),", ",Constants!$P$7,TEXT(DATE(YEAR(H160)-(($I160/12)-8),MONTH(H160),DAY(H160)),"dd/mm/yyyy"),", ",Constants!$T$7,TEXT(DATE(YEAR(H160)-(($I160/12)-11),MONTH(H160),DAY(H160)),"dd/mm/yyyy"),", ",Constants!$V$7,TEXT(DATE(YEAR(H160)-(($I160/12)-13),MONTH(H160),DAY(H160)),"dd/mm/yyyy"),", ",Constants!$W$7,TEXT($H160,"dd/mm/yyyy")),IF(($I160/12)=10,_xlfn.CONCAT(Constants!$N$6,TEXT(DATE(YEAR(H160)-(($I160/12)-2),MONTH(H160),DAY(H160)),"dd/mm/yyyy"),", ",Constants!$P$6,TEXT(DATE(YEAR(H160)-(($I160/12)-6),MONTH(H160),DAY(H160)),"dd/mm/yyyy"),", ",Constants!$T$6,TEXT(DATE(YEAR(H160)-(($I160/12)-8),MONTH(H160),DAY(H160)),"dd/mm/yyyy"),", ",Constants!$V$6,TEXT(DATE(YEAR(H160)-(($I160/12)-9),MONTH(H160),DAY(H160)),"dd/mm/yyyy"),", ",Constants!$W$6,TEXT($H160,"dd/mm/yyyy")),IF(($I160/12)=5,_xlfn.CONCAT(Constants!$N$5,TEXT(DATE(YEAR(H160)-(($I160/12)-1),MONTH(H160),DAY(H160)),"dd/mm/yyyy"),", ",Constants!$O$5,TEXT(DATE(YEAR(H160)-(($I160/12)-2),MONTH(H160),DAY(H160)),"dd/mm/yyyy"),", ",Constants!$P$5,TEXT(DATE(YEAR(H160)-(($I160/12)-3),MONTH(H160),DAY(H160)),"dd/mm/yyyy"),", ",Constants!$Q$5,TEXT(DATE(YEAR(H160)-(($I160/12)-4),MONTH(H160),DAY(H160)),"dd/mm/yyyy"),", ",Constants!$R$5,TEXT($H160,"dd/mm/yyyy")),IF(($I160/12)=3,_xlfn.CONCAT(Constants!$N$4,TEXT(DATE(YEAR(H160)-(($I160/12)-1),MONTH(H160),DAY(H160)),"dd/mm/yyyy"),", ",Constants!$O$4,TEXT(DATE(YEAR(H160)-(($I160/12)-2),MONTH(H160),DAY(H160)),"dd/mm/yyyy"),", ",Constants!$P$4,TEXT($H160,"dd/mm/yyyy")),IF(($I160/12)=2,_xlfn.CONCAT(Constants!$N$3,TEXT(DATE(YEAR(H160)-(($I160/12)-1),MONTH(H160),DAY(H160)),"dd/mm/yyyy"),", ",Constants!$O$3,TEXT($H160,"dd/mm/yyyy")),IF(($I160/12)=1,_xlfn.CONCAT(Constants!$N$2,TEXT($H160,"dd/mm/yyyy")),"Update Constants"))))))),"")</f>
        <v/>
      </c>
      <c r="BC160" s="147" t="str">
        <f>_xlfn.IFNA(VALUE(INDEX(Producer!$K:$K,MATCH($D160,Producer!$A:$A,0))),"")</f>
        <v/>
      </c>
      <c r="BD160" s="147" t="str">
        <f>_xlfn.IFNA(INDEX(Producer!$I:$I,MATCH($D160,Producer!$A:$A,0)),"")</f>
        <v/>
      </c>
      <c r="BE160" s="147" t="str">
        <f t="shared" si="64"/>
        <v/>
      </c>
      <c r="BF160" s="147"/>
      <c r="BG160" s="147"/>
      <c r="BH160" s="151" t="str">
        <f>_xlfn.IFNA(INDEX(Constants!$B:$B,MATCH(BC160,Constants!A:A,0)),"")</f>
        <v/>
      </c>
      <c r="BI160" s="147" t="str">
        <f>IF(LEFT(B160,15)="Limited Company",Constants!$D$16,IFERROR(_xlfn.IFNA(IF(C160="Residential",IF(BK160&lt;75,INDEX(Constants!$B:$B,MATCH(VALUE(60)/100,Constants!$A:$A,0)),INDEX(Constants!$B:$B,MATCH(VALUE(BK160)/100,Constants!$A:$A,0))),IF(BK160&lt;60,INDEX(Constants!$C:$C,MATCH(VALUE(60)/100,Constants!$A:$A,0)),INDEX(Constants!$C:$C,MATCH(VALUE(BK160)/100,Constants!$A:$A,0)))),""),""))</f>
        <v/>
      </c>
      <c r="BJ160" s="147" t="str">
        <f t="shared" si="65"/>
        <v/>
      </c>
      <c r="BK160" s="147" t="str">
        <f>_xlfn.IFNA(VALUE(INDEX(Producer!$E:$E,MATCH($D160,Producer!$A:$A,0)))*100,"")</f>
        <v/>
      </c>
      <c r="BL160" s="146" t="str">
        <f>_xlfn.IFNA(IF(IFERROR(FIND("Part &amp; Part",B160),-10)&gt;0,"PP",IF(OR(LEFT(B160,25)="Residential Interest Only",INDEX(Producer!$P:$P,MATCH($D160,Producer!$A:$A,0))="IO",INDEX(Producer!$P:$P,MATCH($D160,Producer!$A:$A,0))="Retirement Interest Only"),"IO",IF($C160="BuyToLet","CI, IO","CI"))),"")</f>
        <v/>
      </c>
      <c r="BM160" s="152" t="str">
        <f>_xlfn.IFNA(IF(BL160="IO",100%,IF(AND(INDEX(Producer!$P:$P,MATCH($D160,Producer!$A:$A,0))="Residential Interest Only Part &amp; Part",BK160=75),80%,IF(C160="BuyToLet",100%,IF(BL160="Interest Only",100%,IF(AND(INDEX(Producer!$P:$P,MATCH($D160,Producer!$A:$A,0))="Residential Interest Only Part &amp; Part",BK160=60),100%,""))))),"")</f>
        <v/>
      </c>
      <c r="BN160" s="218" t="str">
        <f>_xlfn.IFNA(IF(VALUE(INDEX(Producer!$H:$H,MATCH($D160,Producer!$A:$A,0)))=0,"",VALUE(INDEX(Producer!$H:$H,MATCH($D160,Producer!$A:$A,0)))),"")</f>
        <v/>
      </c>
      <c r="BO160" s="153"/>
      <c r="BP160" s="153"/>
      <c r="BQ160" s="219" t="str">
        <f t="shared" si="66"/>
        <v/>
      </c>
      <c r="BR160" s="146"/>
      <c r="BS160" s="146"/>
      <c r="BT160" s="146"/>
      <c r="BU160" s="146"/>
      <c r="BV160" s="219" t="str">
        <f t="shared" si="67"/>
        <v/>
      </c>
      <c r="BW160" s="146"/>
      <c r="BX160" s="146"/>
      <c r="BY160" s="146" t="str">
        <f t="shared" si="68"/>
        <v/>
      </c>
      <c r="BZ160" s="146" t="str">
        <f t="shared" si="69"/>
        <v/>
      </c>
      <c r="CA160" s="146" t="str">
        <f t="shared" si="70"/>
        <v/>
      </c>
      <c r="CB160" s="146" t="str">
        <f t="shared" si="71"/>
        <v/>
      </c>
      <c r="CC160" s="146" t="str">
        <f>_xlfn.IFNA(IF(INDEX(Producer!$P:$P,MATCH($D160,Producer!$A:$A,0))="Help to Buy","Only available","No"),"")</f>
        <v/>
      </c>
      <c r="CD160" s="146" t="str">
        <f>_xlfn.IFNA(IF(INDEX(Producer!$P:$P,MATCH($D160,Producer!$A:$A,0))="Shared Ownership","Only available","No"),"")</f>
        <v/>
      </c>
      <c r="CE160" s="146" t="str">
        <f>_xlfn.IFNA(IF(INDEX(Producer!$P:$P,MATCH($D160,Producer!$A:$A,0))="Right to Buy","Only available","No"),"")</f>
        <v/>
      </c>
      <c r="CF160" s="146" t="str">
        <f t="shared" si="72"/>
        <v/>
      </c>
      <c r="CG160" s="146" t="str">
        <f>_xlfn.IFNA(IF(INDEX(Producer!$P:$P,MATCH($D160,Producer!$A:$A,0))="Retirement Interest Only","Only available","No"),"")</f>
        <v/>
      </c>
      <c r="CH160" s="146" t="str">
        <f t="shared" si="73"/>
        <v/>
      </c>
      <c r="CI160" s="146" t="str">
        <f>_xlfn.IFNA(IF(INDEX(Producer!$P:$P,MATCH($D160,Producer!$A:$A,0))="Intermediary Holiday Let","Only available","No"),"")</f>
        <v/>
      </c>
      <c r="CJ160" s="146" t="str">
        <f t="shared" si="74"/>
        <v/>
      </c>
      <c r="CK160" s="146" t="str">
        <f>_xlfn.IFNA(IF(OR(INDEX(Producer!$P:$P,MATCH($D160,Producer!$A:$A,0))="Intermediary Small HMO",INDEX(Producer!$P:$P,MATCH($D160,Producer!$A:$A,0))="Intermediary Large HMO"),"Only available","No"),"")</f>
        <v/>
      </c>
      <c r="CL160" s="146" t="str">
        <f t="shared" si="75"/>
        <v/>
      </c>
      <c r="CM160" s="146" t="str">
        <f t="shared" si="76"/>
        <v/>
      </c>
      <c r="CN160" s="146" t="str">
        <f t="shared" si="77"/>
        <v/>
      </c>
      <c r="CO160" s="146" t="str">
        <f t="shared" si="78"/>
        <v/>
      </c>
      <c r="CP160" s="146" t="str">
        <f t="shared" si="79"/>
        <v/>
      </c>
      <c r="CQ160" s="146" t="str">
        <f t="shared" si="80"/>
        <v/>
      </c>
      <c r="CR160" s="146" t="str">
        <f t="shared" si="81"/>
        <v/>
      </c>
      <c r="CS160" s="146" t="str">
        <f t="shared" si="82"/>
        <v/>
      </c>
      <c r="CT160" s="146" t="str">
        <f t="shared" si="83"/>
        <v/>
      </c>
      <c r="CU160" s="146"/>
    </row>
    <row r="161" spans="1:99" ht="16.399999999999999" customHeight="1" x14ac:dyDescent="0.35">
      <c r="A161" s="145" t="str">
        <f t="shared" si="56"/>
        <v/>
      </c>
      <c r="B161" s="145" t="str">
        <f>_xlfn.IFNA(_xlfn.CONCAT(INDEX(Producer!$P:$P,MATCH($D161,Producer!$A:$A,0))," ",IF(INDEX(Producer!$N:$N,MATCH($D161,Producer!$A:$A,0))="Yes","Green ",""),IF(AND(INDEX(Producer!$L:$L,MATCH($D161,Producer!$A:$A,0))="No",INDEX(Producer!$C:$C,MATCH($D161,Producer!$A:$A,0))="Fixed"),"Flexit ",""),INDEX(Producer!$B:$B,MATCH($D161,Producer!$A:$A,0))," Year ",INDEX(Producer!$C:$C,MATCH($D161,Producer!$A:$A,0))," ",VALUE(INDEX(Producer!$E:$E,MATCH($D161,Producer!$A:$A,0)))*100,"% LTV",IF(INDEX(Producer!$N:$N,MATCH($D161,Producer!$A:$A,0))="Yes"," (EPC A-C)","")," - ",IF(INDEX(Producer!$D:$D,MATCH($D161,Producer!$A:$A,0))="DLY","Daily","Annual")),"")</f>
        <v/>
      </c>
      <c r="C161" s="146" t="str">
        <f>_xlfn.IFNA(INDEX(Producer!$Q:$Q,MATCH($D161,Producer!$A:$A,0)),"")</f>
        <v/>
      </c>
      <c r="D161" s="146" t="str">
        <f>IFERROR(VALUE(MID(Producer!$R$2,IF($D160="",1/0,FIND(_xlfn.CONCAT($D159,$D160),Producer!$R$2)+10),5)),"")</f>
        <v/>
      </c>
      <c r="E161" s="146" t="str">
        <f t="shared" si="57"/>
        <v/>
      </c>
      <c r="F161" s="146"/>
      <c r="G161" s="147" t="str">
        <f>_xlfn.IFNA(VALUE(INDEX(Producer!$F:$F,MATCH($D161,Producer!$A:$A,0)))*100,"")</f>
        <v/>
      </c>
      <c r="H161" s="216" t="str">
        <f>_xlfn.IFNA(IFERROR(DATEVALUE(INDEX(Producer!$M:$M,MATCH($D161,Producer!$A:$A,0))),(INDEX(Producer!$M:$M,MATCH($D161,Producer!$A:$A,0)))),"")</f>
        <v/>
      </c>
      <c r="I161" s="217" t="str">
        <f>_xlfn.IFNA(VALUE(INDEX(Producer!$B:$B,MATCH($D161,Producer!$A:$A,0)))*12,"")</f>
        <v/>
      </c>
      <c r="J161" s="146" t="str">
        <f>_xlfn.IFNA(IF(C161="Residential",IF(VALUE(INDEX(Producer!$B:$B,MATCH($D161,Producer!$A:$A,0)))&lt;5,Constants!$C$10,""),IF(VALUE(INDEX(Producer!$B:$B,MATCH($D161,Producer!$A:$A,0)))&lt;5,Constants!$C$11,"")),"")</f>
        <v/>
      </c>
      <c r="K161" s="216" t="str">
        <f>_xlfn.IFNA(IF(($I161)&lt;60,DATE(YEAR(H161)+(5-VALUE(INDEX(Producer!$B:$B,MATCH($D161,Producer!$A:$A,0)))),MONTH(H161),DAY(H161)),""),"")</f>
        <v/>
      </c>
      <c r="L161" s="153" t="str">
        <f t="shared" si="58"/>
        <v/>
      </c>
      <c r="M161" s="146"/>
      <c r="N161" s="148"/>
      <c r="O161" s="148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6"/>
      <c r="AK161" s="146" t="str">
        <f>IF(D161="","",IF(C161="Residential",Constants!$B$10,Constants!$B$11))</f>
        <v/>
      </c>
      <c r="AL161" s="146" t="str">
        <f t="shared" si="59"/>
        <v/>
      </c>
      <c r="AM161" s="206" t="str">
        <f t="shared" si="60"/>
        <v/>
      </c>
      <c r="AN161" s="146" t="str">
        <f t="shared" si="61"/>
        <v/>
      </c>
      <c r="AO161" s="149" t="str">
        <f t="shared" si="62"/>
        <v/>
      </c>
      <c r="AP161" s="150" t="str">
        <f t="shared" si="63"/>
        <v/>
      </c>
      <c r="AQ161" s="146" t="str">
        <f>IFERROR(_xlfn.IFNA(IF($BA161="No",0,IF(INDEX(Constants!B:B,MATCH(($I161/12),Constants!$A:$A,0))=0,0,INDEX(Constants!B:B,MATCH(($I161/12),Constants!$A:$A,0)))),0),"")</f>
        <v/>
      </c>
      <c r="AR161" s="146" t="str">
        <f>IFERROR(_xlfn.IFNA(IF($BA161="No",0,IF(INDEX(Constants!C:C,MATCH(($I161/12),Constants!$A:$A,0))=0,0,INDEX(Constants!C:C,MATCH(($I161/12),Constants!$A:$A,0)))),0),"")</f>
        <v/>
      </c>
      <c r="AS161" s="146" t="str">
        <f>IFERROR(_xlfn.IFNA(IF($BA161="No",0,IF(INDEX(Constants!D:D,MATCH(($I161/12),Constants!$A:$A,0))=0,0,INDEX(Constants!D:D,MATCH(($I161/12),Constants!$A:$A,0)))),0),"")</f>
        <v/>
      </c>
      <c r="AT161" s="146" t="str">
        <f>IFERROR(_xlfn.IFNA(IF($BA161="No",0,IF(INDEX(Constants!E:E,MATCH(($I161/12),Constants!$A:$A,0))=0,0,INDEX(Constants!E:E,MATCH(($I161/12),Constants!$A:$A,0)))),0),"")</f>
        <v/>
      </c>
      <c r="AU161" s="146" t="str">
        <f>IFERROR(_xlfn.IFNA(IF($BA161="No",0,IF(INDEX(Constants!F:F,MATCH(($I161/12),Constants!$A:$A,0))=0,0,INDEX(Constants!F:F,MATCH(($I161/12),Constants!$A:$A,0)))),0),"")</f>
        <v/>
      </c>
      <c r="AV161" s="146" t="str">
        <f>IFERROR(_xlfn.IFNA(IF($BA161="No",0,IF(INDEX(Constants!G:G,MATCH(($I161/12),Constants!$A:$A,0))=0,0,INDEX(Constants!G:G,MATCH(($I161/12),Constants!$A:$A,0)))),0),"")</f>
        <v/>
      </c>
      <c r="AW161" s="146" t="str">
        <f>IFERROR(_xlfn.IFNA(IF($BA161="No",0,IF(INDEX(Constants!H:H,MATCH(($I161/12),Constants!$A:$A,0))=0,0,INDEX(Constants!H:H,MATCH(($I161/12),Constants!$A:$A,0)))),0),"")</f>
        <v/>
      </c>
      <c r="AX161" s="146" t="str">
        <f>IFERROR(_xlfn.IFNA(IF($BA161="No",0,IF(INDEX(Constants!I:I,MATCH(($I161/12),Constants!$A:$A,0))=0,0,INDEX(Constants!I:I,MATCH(($I161/12),Constants!$A:$A,0)))),0),"")</f>
        <v/>
      </c>
      <c r="AY161" s="146" t="str">
        <f>IFERROR(_xlfn.IFNA(IF($BA161="No",0,IF(INDEX(Constants!J:J,MATCH(($I161/12),Constants!$A:$A,0))=0,0,INDEX(Constants!J:J,MATCH(($I161/12),Constants!$A:$A,0)))),0),"")</f>
        <v/>
      </c>
      <c r="AZ161" s="146" t="str">
        <f>IFERROR(_xlfn.IFNA(IF($BA161="No",0,IF(INDEX(Constants!K:K,MATCH(($I161/12),Constants!$A:$A,0))=0,0,INDEX(Constants!K:K,MATCH(($I161/12),Constants!$A:$A,0)))),0),"")</f>
        <v/>
      </c>
      <c r="BA161" s="147" t="str">
        <f>_xlfn.IFNA(INDEX(Producer!$L:$L,MATCH($D161,Producer!$A:$A,0)),"")</f>
        <v/>
      </c>
      <c r="BB161" s="146" t="str">
        <f>IFERROR(IF(AQ161=0,"",IF(($I161/12)=15,_xlfn.CONCAT(Constants!$N$7,TEXT(DATE(YEAR(H161)-(($I161/12)-3),MONTH(H161),DAY(H161)),"dd/mm/yyyy"),", ",Constants!$P$7,TEXT(DATE(YEAR(H161)-(($I161/12)-8),MONTH(H161),DAY(H161)),"dd/mm/yyyy"),", ",Constants!$T$7,TEXT(DATE(YEAR(H161)-(($I161/12)-11),MONTH(H161),DAY(H161)),"dd/mm/yyyy"),", ",Constants!$V$7,TEXT(DATE(YEAR(H161)-(($I161/12)-13),MONTH(H161),DAY(H161)),"dd/mm/yyyy"),", ",Constants!$W$7,TEXT($H161,"dd/mm/yyyy")),IF(($I161/12)=10,_xlfn.CONCAT(Constants!$N$6,TEXT(DATE(YEAR(H161)-(($I161/12)-2),MONTH(H161),DAY(H161)),"dd/mm/yyyy"),", ",Constants!$P$6,TEXT(DATE(YEAR(H161)-(($I161/12)-6),MONTH(H161),DAY(H161)),"dd/mm/yyyy"),", ",Constants!$T$6,TEXT(DATE(YEAR(H161)-(($I161/12)-8),MONTH(H161),DAY(H161)),"dd/mm/yyyy"),", ",Constants!$V$6,TEXT(DATE(YEAR(H161)-(($I161/12)-9),MONTH(H161),DAY(H161)),"dd/mm/yyyy"),", ",Constants!$W$6,TEXT($H161,"dd/mm/yyyy")),IF(($I161/12)=5,_xlfn.CONCAT(Constants!$N$5,TEXT(DATE(YEAR(H161)-(($I161/12)-1),MONTH(H161),DAY(H161)),"dd/mm/yyyy"),", ",Constants!$O$5,TEXT(DATE(YEAR(H161)-(($I161/12)-2),MONTH(H161),DAY(H161)),"dd/mm/yyyy"),", ",Constants!$P$5,TEXT(DATE(YEAR(H161)-(($I161/12)-3),MONTH(H161),DAY(H161)),"dd/mm/yyyy"),", ",Constants!$Q$5,TEXT(DATE(YEAR(H161)-(($I161/12)-4),MONTH(H161),DAY(H161)),"dd/mm/yyyy"),", ",Constants!$R$5,TEXT($H161,"dd/mm/yyyy")),IF(($I161/12)=3,_xlfn.CONCAT(Constants!$N$4,TEXT(DATE(YEAR(H161)-(($I161/12)-1),MONTH(H161),DAY(H161)),"dd/mm/yyyy"),", ",Constants!$O$4,TEXT(DATE(YEAR(H161)-(($I161/12)-2),MONTH(H161),DAY(H161)),"dd/mm/yyyy"),", ",Constants!$P$4,TEXT($H161,"dd/mm/yyyy")),IF(($I161/12)=2,_xlfn.CONCAT(Constants!$N$3,TEXT(DATE(YEAR(H161)-(($I161/12)-1),MONTH(H161),DAY(H161)),"dd/mm/yyyy"),", ",Constants!$O$3,TEXT($H161,"dd/mm/yyyy")),IF(($I161/12)=1,_xlfn.CONCAT(Constants!$N$2,TEXT($H161,"dd/mm/yyyy")),"Update Constants"))))))),"")</f>
        <v/>
      </c>
      <c r="BC161" s="147" t="str">
        <f>_xlfn.IFNA(VALUE(INDEX(Producer!$K:$K,MATCH($D161,Producer!$A:$A,0))),"")</f>
        <v/>
      </c>
      <c r="BD161" s="147" t="str">
        <f>_xlfn.IFNA(INDEX(Producer!$I:$I,MATCH($D161,Producer!$A:$A,0)),"")</f>
        <v/>
      </c>
      <c r="BE161" s="147" t="str">
        <f t="shared" si="64"/>
        <v/>
      </c>
      <c r="BF161" s="147"/>
      <c r="BG161" s="147"/>
      <c r="BH161" s="151" t="str">
        <f>_xlfn.IFNA(INDEX(Constants!$B:$B,MATCH(BC161,Constants!A:A,0)),"")</f>
        <v/>
      </c>
      <c r="BI161" s="147" t="str">
        <f>IF(LEFT(B161,15)="Limited Company",Constants!$D$16,IFERROR(_xlfn.IFNA(IF(C161="Residential",IF(BK161&lt;75,INDEX(Constants!$B:$B,MATCH(VALUE(60)/100,Constants!$A:$A,0)),INDEX(Constants!$B:$B,MATCH(VALUE(BK161)/100,Constants!$A:$A,0))),IF(BK161&lt;60,INDEX(Constants!$C:$C,MATCH(VALUE(60)/100,Constants!$A:$A,0)),INDEX(Constants!$C:$C,MATCH(VALUE(BK161)/100,Constants!$A:$A,0)))),""),""))</f>
        <v/>
      </c>
      <c r="BJ161" s="147" t="str">
        <f t="shared" si="65"/>
        <v/>
      </c>
      <c r="BK161" s="147" t="str">
        <f>_xlfn.IFNA(VALUE(INDEX(Producer!$E:$E,MATCH($D161,Producer!$A:$A,0)))*100,"")</f>
        <v/>
      </c>
      <c r="BL161" s="146" t="str">
        <f>_xlfn.IFNA(IF(IFERROR(FIND("Part &amp; Part",B161),-10)&gt;0,"PP",IF(OR(LEFT(B161,25)="Residential Interest Only",INDEX(Producer!$P:$P,MATCH($D161,Producer!$A:$A,0))="IO",INDEX(Producer!$P:$P,MATCH($D161,Producer!$A:$A,0))="Retirement Interest Only"),"IO",IF($C161="BuyToLet","CI, IO","CI"))),"")</f>
        <v/>
      </c>
      <c r="BM161" s="152" t="str">
        <f>_xlfn.IFNA(IF(BL161="IO",100%,IF(AND(INDEX(Producer!$P:$P,MATCH($D161,Producer!$A:$A,0))="Residential Interest Only Part &amp; Part",BK161=75),80%,IF(C161="BuyToLet",100%,IF(BL161="Interest Only",100%,IF(AND(INDEX(Producer!$P:$P,MATCH($D161,Producer!$A:$A,0))="Residential Interest Only Part &amp; Part",BK161=60),100%,""))))),"")</f>
        <v/>
      </c>
      <c r="BN161" s="218" t="str">
        <f>_xlfn.IFNA(IF(VALUE(INDEX(Producer!$H:$H,MATCH($D161,Producer!$A:$A,0)))=0,"",VALUE(INDEX(Producer!$H:$H,MATCH($D161,Producer!$A:$A,0)))),"")</f>
        <v/>
      </c>
      <c r="BO161" s="153"/>
      <c r="BP161" s="153"/>
      <c r="BQ161" s="219" t="str">
        <f t="shared" si="66"/>
        <v/>
      </c>
      <c r="BR161" s="146"/>
      <c r="BS161" s="146"/>
      <c r="BT161" s="146"/>
      <c r="BU161" s="146"/>
      <c r="BV161" s="219" t="str">
        <f t="shared" si="67"/>
        <v/>
      </c>
      <c r="BW161" s="146"/>
      <c r="BX161" s="146"/>
      <c r="BY161" s="146" t="str">
        <f t="shared" si="68"/>
        <v/>
      </c>
      <c r="BZ161" s="146" t="str">
        <f t="shared" si="69"/>
        <v/>
      </c>
      <c r="CA161" s="146" t="str">
        <f t="shared" si="70"/>
        <v/>
      </c>
      <c r="CB161" s="146" t="str">
        <f t="shared" si="71"/>
        <v/>
      </c>
      <c r="CC161" s="146" t="str">
        <f>_xlfn.IFNA(IF(INDEX(Producer!$P:$P,MATCH($D161,Producer!$A:$A,0))="Help to Buy","Only available","No"),"")</f>
        <v/>
      </c>
      <c r="CD161" s="146" t="str">
        <f>_xlfn.IFNA(IF(INDEX(Producer!$P:$P,MATCH($D161,Producer!$A:$A,0))="Shared Ownership","Only available","No"),"")</f>
        <v/>
      </c>
      <c r="CE161" s="146" t="str">
        <f>_xlfn.IFNA(IF(INDEX(Producer!$P:$P,MATCH($D161,Producer!$A:$A,0))="Right to Buy","Only available","No"),"")</f>
        <v/>
      </c>
      <c r="CF161" s="146" t="str">
        <f t="shared" si="72"/>
        <v/>
      </c>
      <c r="CG161" s="146" t="str">
        <f>_xlfn.IFNA(IF(INDEX(Producer!$P:$P,MATCH($D161,Producer!$A:$A,0))="Retirement Interest Only","Only available","No"),"")</f>
        <v/>
      </c>
      <c r="CH161" s="146" t="str">
        <f t="shared" si="73"/>
        <v/>
      </c>
      <c r="CI161" s="146" t="str">
        <f>_xlfn.IFNA(IF(INDEX(Producer!$P:$P,MATCH($D161,Producer!$A:$A,0))="Intermediary Holiday Let","Only available","No"),"")</f>
        <v/>
      </c>
      <c r="CJ161" s="146" t="str">
        <f t="shared" si="74"/>
        <v/>
      </c>
      <c r="CK161" s="146" t="str">
        <f>_xlfn.IFNA(IF(OR(INDEX(Producer!$P:$P,MATCH($D161,Producer!$A:$A,0))="Intermediary Small HMO",INDEX(Producer!$P:$P,MATCH($D161,Producer!$A:$A,0))="Intermediary Large HMO"),"Only available","No"),"")</f>
        <v/>
      </c>
      <c r="CL161" s="146" t="str">
        <f t="shared" si="75"/>
        <v/>
      </c>
      <c r="CM161" s="146" t="str">
        <f t="shared" si="76"/>
        <v/>
      </c>
      <c r="CN161" s="146" t="str">
        <f t="shared" si="77"/>
        <v/>
      </c>
      <c r="CO161" s="146" t="str">
        <f t="shared" si="78"/>
        <v/>
      </c>
      <c r="CP161" s="146" t="str">
        <f t="shared" si="79"/>
        <v/>
      </c>
      <c r="CQ161" s="146" t="str">
        <f t="shared" si="80"/>
        <v/>
      </c>
      <c r="CR161" s="146" t="str">
        <f t="shared" si="81"/>
        <v/>
      </c>
      <c r="CS161" s="146" t="str">
        <f t="shared" si="82"/>
        <v/>
      </c>
      <c r="CT161" s="146" t="str">
        <f t="shared" si="83"/>
        <v/>
      </c>
      <c r="CU161" s="146"/>
    </row>
    <row r="162" spans="1:99" ht="16.399999999999999" customHeight="1" x14ac:dyDescent="0.35">
      <c r="A162" s="145" t="str">
        <f t="shared" si="56"/>
        <v/>
      </c>
      <c r="B162" s="145" t="str">
        <f>_xlfn.IFNA(_xlfn.CONCAT(INDEX(Producer!$P:$P,MATCH($D162,Producer!$A:$A,0))," ",IF(INDEX(Producer!$N:$N,MATCH($D162,Producer!$A:$A,0))="Yes","Green ",""),IF(AND(INDEX(Producer!$L:$L,MATCH($D162,Producer!$A:$A,0))="No",INDEX(Producer!$C:$C,MATCH($D162,Producer!$A:$A,0))="Fixed"),"Flexit ",""),INDEX(Producer!$B:$B,MATCH($D162,Producer!$A:$A,0))," Year ",INDEX(Producer!$C:$C,MATCH($D162,Producer!$A:$A,0))," ",VALUE(INDEX(Producer!$E:$E,MATCH($D162,Producer!$A:$A,0)))*100,"% LTV",IF(INDEX(Producer!$N:$N,MATCH($D162,Producer!$A:$A,0))="Yes"," (EPC A-C)","")," - ",IF(INDEX(Producer!$D:$D,MATCH($D162,Producer!$A:$A,0))="DLY","Daily","Annual")),"")</f>
        <v/>
      </c>
      <c r="C162" s="146" t="str">
        <f>_xlfn.IFNA(INDEX(Producer!$Q:$Q,MATCH($D162,Producer!$A:$A,0)),"")</f>
        <v/>
      </c>
      <c r="D162" s="146" t="str">
        <f>IFERROR(VALUE(MID(Producer!$R$2,IF($D161="",1/0,FIND(_xlfn.CONCAT($D160,$D161),Producer!$R$2)+10),5)),"")</f>
        <v/>
      </c>
      <c r="E162" s="146" t="str">
        <f t="shared" si="57"/>
        <v/>
      </c>
      <c r="F162" s="146"/>
      <c r="G162" s="147" t="str">
        <f>_xlfn.IFNA(VALUE(INDEX(Producer!$F:$F,MATCH($D162,Producer!$A:$A,0)))*100,"")</f>
        <v/>
      </c>
      <c r="H162" s="216" t="str">
        <f>_xlfn.IFNA(IFERROR(DATEVALUE(INDEX(Producer!$M:$M,MATCH($D162,Producer!$A:$A,0))),(INDEX(Producer!$M:$M,MATCH($D162,Producer!$A:$A,0)))),"")</f>
        <v/>
      </c>
      <c r="I162" s="217" t="str">
        <f>_xlfn.IFNA(VALUE(INDEX(Producer!$B:$B,MATCH($D162,Producer!$A:$A,0)))*12,"")</f>
        <v/>
      </c>
      <c r="J162" s="146" t="str">
        <f>_xlfn.IFNA(IF(C162="Residential",IF(VALUE(INDEX(Producer!$B:$B,MATCH($D162,Producer!$A:$A,0)))&lt;5,Constants!$C$10,""),IF(VALUE(INDEX(Producer!$B:$B,MATCH($D162,Producer!$A:$A,0)))&lt;5,Constants!$C$11,"")),"")</f>
        <v/>
      </c>
      <c r="K162" s="216" t="str">
        <f>_xlfn.IFNA(IF(($I162)&lt;60,DATE(YEAR(H162)+(5-VALUE(INDEX(Producer!$B:$B,MATCH($D162,Producer!$A:$A,0)))),MONTH(H162),DAY(H162)),""),"")</f>
        <v/>
      </c>
      <c r="L162" s="153" t="str">
        <f t="shared" si="58"/>
        <v/>
      </c>
      <c r="M162" s="146"/>
      <c r="N162" s="148"/>
      <c r="O162" s="148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6"/>
      <c r="AK162" s="146" t="str">
        <f>IF(D162="","",IF(C162="Residential",Constants!$B$10,Constants!$B$11))</f>
        <v/>
      </c>
      <c r="AL162" s="146" t="str">
        <f t="shared" si="59"/>
        <v/>
      </c>
      <c r="AM162" s="206" t="str">
        <f t="shared" si="60"/>
        <v/>
      </c>
      <c r="AN162" s="146" t="str">
        <f t="shared" si="61"/>
        <v/>
      </c>
      <c r="AO162" s="149" t="str">
        <f t="shared" si="62"/>
        <v/>
      </c>
      <c r="AP162" s="150" t="str">
        <f t="shared" si="63"/>
        <v/>
      </c>
      <c r="AQ162" s="146" t="str">
        <f>IFERROR(_xlfn.IFNA(IF($BA162="No",0,IF(INDEX(Constants!B:B,MATCH(($I162/12),Constants!$A:$A,0))=0,0,INDEX(Constants!B:B,MATCH(($I162/12),Constants!$A:$A,0)))),0),"")</f>
        <v/>
      </c>
      <c r="AR162" s="146" t="str">
        <f>IFERROR(_xlfn.IFNA(IF($BA162="No",0,IF(INDEX(Constants!C:C,MATCH(($I162/12),Constants!$A:$A,0))=0,0,INDEX(Constants!C:C,MATCH(($I162/12),Constants!$A:$A,0)))),0),"")</f>
        <v/>
      </c>
      <c r="AS162" s="146" t="str">
        <f>IFERROR(_xlfn.IFNA(IF($BA162="No",0,IF(INDEX(Constants!D:D,MATCH(($I162/12),Constants!$A:$A,0))=0,0,INDEX(Constants!D:D,MATCH(($I162/12),Constants!$A:$A,0)))),0),"")</f>
        <v/>
      </c>
      <c r="AT162" s="146" t="str">
        <f>IFERROR(_xlfn.IFNA(IF($BA162="No",0,IF(INDEX(Constants!E:E,MATCH(($I162/12),Constants!$A:$A,0))=0,0,INDEX(Constants!E:E,MATCH(($I162/12),Constants!$A:$A,0)))),0),"")</f>
        <v/>
      </c>
      <c r="AU162" s="146" t="str">
        <f>IFERROR(_xlfn.IFNA(IF($BA162="No",0,IF(INDEX(Constants!F:F,MATCH(($I162/12),Constants!$A:$A,0))=0,0,INDEX(Constants!F:F,MATCH(($I162/12),Constants!$A:$A,0)))),0),"")</f>
        <v/>
      </c>
      <c r="AV162" s="146" t="str">
        <f>IFERROR(_xlfn.IFNA(IF($BA162="No",0,IF(INDEX(Constants!G:G,MATCH(($I162/12),Constants!$A:$A,0))=0,0,INDEX(Constants!G:G,MATCH(($I162/12),Constants!$A:$A,0)))),0),"")</f>
        <v/>
      </c>
      <c r="AW162" s="146" t="str">
        <f>IFERROR(_xlfn.IFNA(IF($BA162="No",0,IF(INDEX(Constants!H:H,MATCH(($I162/12),Constants!$A:$A,0))=0,0,INDEX(Constants!H:H,MATCH(($I162/12),Constants!$A:$A,0)))),0),"")</f>
        <v/>
      </c>
      <c r="AX162" s="146" t="str">
        <f>IFERROR(_xlfn.IFNA(IF($BA162="No",0,IF(INDEX(Constants!I:I,MATCH(($I162/12),Constants!$A:$A,0))=0,0,INDEX(Constants!I:I,MATCH(($I162/12),Constants!$A:$A,0)))),0),"")</f>
        <v/>
      </c>
      <c r="AY162" s="146" t="str">
        <f>IFERROR(_xlfn.IFNA(IF($BA162="No",0,IF(INDEX(Constants!J:J,MATCH(($I162/12),Constants!$A:$A,0))=0,0,INDEX(Constants!J:J,MATCH(($I162/12),Constants!$A:$A,0)))),0),"")</f>
        <v/>
      </c>
      <c r="AZ162" s="146" t="str">
        <f>IFERROR(_xlfn.IFNA(IF($BA162="No",0,IF(INDEX(Constants!K:K,MATCH(($I162/12),Constants!$A:$A,0))=0,0,INDEX(Constants!K:K,MATCH(($I162/12),Constants!$A:$A,0)))),0),"")</f>
        <v/>
      </c>
      <c r="BA162" s="147" t="str">
        <f>_xlfn.IFNA(INDEX(Producer!$L:$L,MATCH($D162,Producer!$A:$A,0)),"")</f>
        <v/>
      </c>
      <c r="BB162" s="146" t="str">
        <f>IFERROR(IF(AQ162=0,"",IF(($I162/12)=15,_xlfn.CONCAT(Constants!$N$7,TEXT(DATE(YEAR(H162)-(($I162/12)-3),MONTH(H162),DAY(H162)),"dd/mm/yyyy"),", ",Constants!$P$7,TEXT(DATE(YEAR(H162)-(($I162/12)-8),MONTH(H162),DAY(H162)),"dd/mm/yyyy"),", ",Constants!$T$7,TEXT(DATE(YEAR(H162)-(($I162/12)-11),MONTH(H162),DAY(H162)),"dd/mm/yyyy"),", ",Constants!$V$7,TEXT(DATE(YEAR(H162)-(($I162/12)-13),MONTH(H162),DAY(H162)),"dd/mm/yyyy"),", ",Constants!$W$7,TEXT($H162,"dd/mm/yyyy")),IF(($I162/12)=10,_xlfn.CONCAT(Constants!$N$6,TEXT(DATE(YEAR(H162)-(($I162/12)-2),MONTH(H162),DAY(H162)),"dd/mm/yyyy"),", ",Constants!$P$6,TEXT(DATE(YEAR(H162)-(($I162/12)-6),MONTH(H162),DAY(H162)),"dd/mm/yyyy"),", ",Constants!$T$6,TEXT(DATE(YEAR(H162)-(($I162/12)-8),MONTH(H162),DAY(H162)),"dd/mm/yyyy"),", ",Constants!$V$6,TEXT(DATE(YEAR(H162)-(($I162/12)-9),MONTH(H162),DAY(H162)),"dd/mm/yyyy"),", ",Constants!$W$6,TEXT($H162,"dd/mm/yyyy")),IF(($I162/12)=5,_xlfn.CONCAT(Constants!$N$5,TEXT(DATE(YEAR(H162)-(($I162/12)-1),MONTH(H162),DAY(H162)),"dd/mm/yyyy"),", ",Constants!$O$5,TEXT(DATE(YEAR(H162)-(($I162/12)-2),MONTH(H162),DAY(H162)),"dd/mm/yyyy"),", ",Constants!$P$5,TEXT(DATE(YEAR(H162)-(($I162/12)-3),MONTH(H162),DAY(H162)),"dd/mm/yyyy"),", ",Constants!$Q$5,TEXT(DATE(YEAR(H162)-(($I162/12)-4),MONTH(H162),DAY(H162)),"dd/mm/yyyy"),", ",Constants!$R$5,TEXT($H162,"dd/mm/yyyy")),IF(($I162/12)=3,_xlfn.CONCAT(Constants!$N$4,TEXT(DATE(YEAR(H162)-(($I162/12)-1),MONTH(H162),DAY(H162)),"dd/mm/yyyy"),", ",Constants!$O$4,TEXT(DATE(YEAR(H162)-(($I162/12)-2),MONTH(H162),DAY(H162)),"dd/mm/yyyy"),", ",Constants!$P$4,TEXT($H162,"dd/mm/yyyy")),IF(($I162/12)=2,_xlfn.CONCAT(Constants!$N$3,TEXT(DATE(YEAR(H162)-(($I162/12)-1),MONTH(H162),DAY(H162)),"dd/mm/yyyy"),", ",Constants!$O$3,TEXT($H162,"dd/mm/yyyy")),IF(($I162/12)=1,_xlfn.CONCAT(Constants!$N$2,TEXT($H162,"dd/mm/yyyy")),"Update Constants"))))))),"")</f>
        <v/>
      </c>
      <c r="BC162" s="147" t="str">
        <f>_xlfn.IFNA(VALUE(INDEX(Producer!$K:$K,MATCH($D162,Producer!$A:$A,0))),"")</f>
        <v/>
      </c>
      <c r="BD162" s="147" t="str">
        <f>_xlfn.IFNA(INDEX(Producer!$I:$I,MATCH($D162,Producer!$A:$A,0)),"")</f>
        <v/>
      </c>
      <c r="BE162" s="147" t="str">
        <f t="shared" si="64"/>
        <v/>
      </c>
      <c r="BF162" s="147"/>
      <c r="BG162" s="147"/>
      <c r="BH162" s="151" t="str">
        <f>_xlfn.IFNA(INDEX(Constants!$B:$B,MATCH(BC162,Constants!A:A,0)),"")</f>
        <v/>
      </c>
      <c r="BI162" s="147" t="str">
        <f>IF(LEFT(B162,15)="Limited Company",Constants!$D$16,IFERROR(_xlfn.IFNA(IF(C162="Residential",IF(BK162&lt;75,INDEX(Constants!$B:$B,MATCH(VALUE(60)/100,Constants!$A:$A,0)),INDEX(Constants!$B:$B,MATCH(VALUE(BK162)/100,Constants!$A:$A,0))),IF(BK162&lt;60,INDEX(Constants!$C:$C,MATCH(VALUE(60)/100,Constants!$A:$A,0)),INDEX(Constants!$C:$C,MATCH(VALUE(BK162)/100,Constants!$A:$A,0)))),""),""))</f>
        <v/>
      </c>
      <c r="BJ162" s="147" t="str">
        <f t="shared" si="65"/>
        <v/>
      </c>
      <c r="BK162" s="147" t="str">
        <f>_xlfn.IFNA(VALUE(INDEX(Producer!$E:$E,MATCH($D162,Producer!$A:$A,0)))*100,"")</f>
        <v/>
      </c>
      <c r="BL162" s="146" t="str">
        <f>_xlfn.IFNA(IF(IFERROR(FIND("Part &amp; Part",B162),-10)&gt;0,"PP",IF(OR(LEFT(B162,25)="Residential Interest Only",INDEX(Producer!$P:$P,MATCH($D162,Producer!$A:$A,0))="IO",INDEX(Producer!$P:$P,MATCH($D162,Producer!$A:$A,0))="Retirement Interest Only"),"IO",IF($C162="BuyToLet","CI, IO","CI"))),"")</f>
        <v/>
      </c>
      <c r="BM162" s="152" t="str">
        <f>_xlfn.IFNA(IF(BL162="IO",100%,IF(AND(INDEX(Producer!$P:$P,MATCH($D162,Producer!$A:$A,0))="Residential Interest Only Part &amp; Part",BK162=75),80%,IF(C162="BuyToLet",100%,IF(BL162="Interest Only",100%,IF(AND(INDEX(Producer!$P:$P,MATCH($D162,Producer!$A:$A,0))="Residential Interest Only Part &amp; Part",BK162=60),100%,""))))),"")</f>
        <v/>
      </c>
      <c r="BN162" s="218" t="str">
        <f>_xlfn.IFNA(IF(VALUE(INDEX(Producer!$H:$H,MATCH($D162,Producer!$A:$A,0)))=0,"",VALUE(INDEX(Producer!$H:$H,MATCH($D162,Producer!$A:$A,0)))),"")</f>
        <v/>
      </c>
      <c r="BO162" s="153"/>
      <c r="BP162" s="153"/>
      <c r="BQ162" s="219" t="str">
        <f t="shared" si="66"/>
        <v/>
      </c>
      <c r="BR162" s="146"/>
      <c r="BS162" s="146"/>
      <c r="BT162" s="146"/>
      <c r="BU162" s="146"/>
      <c r="BV162" s="219" t="str">
        <f t="shared" si="67"/>
        <v/>
      </c>
      <c r="BW162" s="146"/>
      <c r="BX162" s="146"/>
      <c r="BY162" s="146" t="str">
        <f t="shared" si="68"/>
        <v/>
      </c>
      <c r="BZ162" s="146" t="str">
        <f t="shared" si="69"/>
        <v/>
      </c>
      <c r="CA162" s="146" t="str">
        <f t="shared" si="70"/>
        <v/>
      </c>
      <c r="CB162" s="146" t="str">
        <f t="shared" si="71"/>
        <v/>
      </c>
      <c r="CC162" s="146" t="str">
        <f>_xlfn.IFNA(IF(INDEX(Producer!$P:$P,MATCH($D162,Producer!$A:$A,0))="Help to Buy","Only available","No"),"")</f>
        <v/>
      </c>
      <c r="CD162" s="146" t="str">
        <f>_xlfn.IFNA(IF(INDEX(Producer!$P:$P,MATCH($D162,Producer!$A:$A,0))="Shared Ownership","Only available","No"),"")</f>
        <v/>
      </c>
      <c r="CE162" s="146" t="str">
        <f>_xlfn.IFNA(IF(INDEX(Producer!$P:$P,MATCH($D162,Producer!$A:$A,0))="Right to Buy","Only available","No"),"")</f>
        <v/>
      </c>
      <c r="CF162" s="146" t="str">
        <f t="shared" si="72"/>
        <v/>
      </c>
      <c r="CG162" s="146" t="str">
        <f>_xlfn.IFNA(IF(INDEX(Producer!$P:$P,MATCH($D162,Producer!$A:$A,0))="Retirement Interest Only","Only available","No"),"")</f>
        <v/>
      </c>
      <c r="CH162" s="146" t="str">
        <f t="shared" si="73"/>
        <v/>
      </c>
      <c r="CI162" s="146" t="str">
        <f>_xlfn.IFNA(IF(INDEX(Producer!$P:$P,MATCH($D162,Producer!$A:$A,0))="Intermediary Holiday Let","Only available","No"),"")</f>
        <v/>
      </c>
      <c r="CJ162" s="146" t="str">
        <f t="shared" si="74"/>
        <v/>
      </c>
      <c r="CK162" s="146" t="str">
        <f>_xlfn.IFNA(IF(OR(INDEX(Producer!$P:$P,MATCH($D162,Producer!$A:$A,0))="Intermediary Small HMO",INDEX(Producer!$P:$P,MATCH($D162,Producer!$A:$A,0))="Intermediary Large HMO"),"Only available","No"),"")</f>
        <v/>
      </c>
      <c r="CL162" s="146" t="str">
        <f t="shared" si="75"/>
        <v/>
      </c>
      <c r="CM162" s="146" t="str">
        <f t="shared" si="76"/>
        <v/>
      </c>
      <c r="CN162" s="146" t="str">
        <f t="shared" si="77"/>
        <v/>
      </c>
      <c r="CO162" s="146" t="str">
        <f t="shared" si="78"/>
        <v/>
      </c>
      <c r="CP162" s="146" t="str">
        <f t="shared" si="79"/>
        <v/>
      </c>
      <c r="CQ162" s="146" t="str">
        <f t="shared" si="80"/>
        <v/>
      </c>
      <c r="CR162" s="146" t="str">
        <f t="shared" si="81"/>
        <v/>
      </c>
      <c r="CS162" s="146" t="str">
        <f t="shared" si="82"/>
        <v/>
      </c>
      <c r="CT162" s="146" t="str">
        <f t="shared" si="83"/>
        <v/>
      </c>
      <c r="CU162" s="146"/>
    </row>
    <row r="163" spans="1:99" ht="16.399999999999999" customHeight="1" x14ac:dyDescent="0.35">
      <c r="A163" s="145" t="str">
        <f t="shared" si="56"/>
        <v/>
      </c>
      <c r="B163" s="145" t="str">
        <f>_xlfn.IFNA(_xlfn.CONCAT(INDEX(Producer!$P:$P,MATCH($D163,Producer!$A:$A,0))," ",IF(INDEX(Producer!$N:$N,MATCH($D163,Producer!$A:$A,0))="Yes","Green ",""),IF(AND(INDEX(Producer!$L:$L,MATCH($D163,Producer!$A:$A,0))="No",INDEX(Producer!$C:$C,MATCH($D163,Producer!$A:$A,0))="Fixed"),"Flexit ",""),INDEX(Producer!$B:$B,MATCH($D163,Producer!$A:$A,0))," Year ",INDEX(Producer!$C:$C,MATCH($D163,Producer!$A:$A,0))," ",VALUE(INDEX(Producer!$E:$E,MATCH($D163,Producer!$A:$A,0)))*100,"% LTV",IF(INDEX(Producer!$N:$N,MATCH($D163,Producer!$A:$A,0))="Yes"," (EPC A-C)","")," - ",IF(INDEX(Producer!$D:$D,MATCH($D163,Producer!$A:$A,0))="DLY","Daily","Annual")),"")</f>
        <v/>
      </c>
      <c r="C163" s="146" t="str">
        <f>_xlfn.IFNA(INDEX(Producer!$Q:$Q,MATCH($D163,Producer!$A:$A,0)),"")</f>
        <v/>
      </c>
      <c r="D163" s="146" t="str">
        <f>IFERROR(VALUE(MID(Producer!$R$2,IF($D162="",1/0,FIND(_xlfn.CONCAT($D161,$D162),Producer!$R$2)+10),5)),"")</f>
        <v/>
      </c>
      <c r="E163" s="146" t="str">
        <f t="shared" si="57"/>
        <v/>
      </c>
      <c r="F163" s="146"/>
      <c r="G163" s="147" t="str">
        <f>_xlfn.IFNA(VALUE(INDEX(Producer!$F:$F,MATCH($D163,Producer!$A:$A,0)))*100,"")</f>
        <v/>
      </c>
      <c r="H163" s="216" t="str">
        <f>_xlfn.IFNA(IFERROR(DATEVALUE(INDEX(Producer!$M:$M,MATCH($D163,Producer!$A:$A,0))),(INDEX(Producer!$M:$M,MATCH($D163,Producer!$A:$A,0)))),"")</f>
        <v/>
      </c>
      <c r="I163" s="217" t="str">
        <f>_xlfn.IFNA(VALUE(INDEX(Producer!$B:$B,MATCH($D163,Producer!$A:$A,0)))*12,"")</f>
        <v/>
      </c>
      <c r="J163" s="146" t="str">
        <f>_xlfn.IFNA(IF(C163="Residential",IF(VALUE(INDEX(Producer!$B:$B,MATCH($D163,Producer!$A:$A,0)))&lt;5,Constants!$C$10,""),IF(VALUE(INDEX(Producer!$B:$B,MATCH($D163,Producer!$A:$A,0)))&lt;5,Constants!$C$11,"")),"")</f>
        <v/>
      </c>
      <c r="K163" s="216" t="str">
        <f>_xlfn.IFNA(IF(($I163)&lt;60,DATE(YEAR(H163)+(5-VALUE(INDEX(Producer!$B:$B,MATCH($D163,Producer!$A:$A,0)))),MONTH(H163),DAY(H163)),""),"")</f>
        <v/>
      </c>
      <c r="L163" s="153" t="str">
        <f t="shared" si="58"/>
        <v/>
      </c>
      <c r="M163" s="146"/>
      <c r="N163" s="148"/>
      <c r="O163" s="148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6"/>
      <c r="AK163" s="146" t="str">
        <f>IF(D163="","",IF(C163="Residential",Constants!$B$10,Constants!$B$11))</f>
        <v/>
      </c>
      <c r="AL163" s="146" t="str">
        <f t="shared" si="59"/>
        <v/>
      </c>
      <c r="AM163" s="206" t="str">
        <f t="shared" si="60"/>
        <v/>
      </c>
      <c r="AN163" s="146" t="str">
        <f t="shared" si="61"/>
        <v/>
      </c>
      <c r="AO163" s="149" t="str">
        <f t="shared" si="62"/>
        <v/>
      </c>
      <c r="AP163" s="150" t="str">
        <f t="shared" si="63"/>
        <v/>
      </c>
      <c r="AQ163" s="146" t="str">
        <f>IFERROR(_xlfn.IFNA(IF($BA163="No",0,IF(INDEX(Constants!B:B,MATCH(($I163/12),Constants!$A:$A,0))=0,0,INDEX(Constants!B:B,MATCH(($I163/12),Constants!$A:$A,0)))),0),"")</f>
        <v/>
      </c>
      <c r="AR163" s="146" t="str">
        <f>IFERROR(_xlfn.IFNA(IF($BA163="No",0,IF(INDEX(Constants!C:C,MATCH(($I163/12),Constants!$A:$A,0))=0,0,INDEX(Constants!C:C,MATCH(($I163/12),Constants!$A:$A,0)))),0),"")</f>
        <v/>
      </c>
      <c r="AS163" s="146" t="str">
        <f>IFERROR(_xlfn.IFNA(IF($BA163="No",0,IF(INDEX(Constants!D:D,MATCH(($I163/12),Constants!$A:$A,0))=0,0,INDEX(Constants!D:D,MATCH(($I163/12),Constants!$A:$A,0)))),0),"")</f>
        <v/>
      </c>
      <c r="AT163" s="146" t="str">
        <f>IFERROR(_xlfn.IFNA(IF($BA163="No",0,IF(INDEX(Constants!E:E,MATCH(($I163/12),Constants!$A:$A,0))=0,0,INDEX(Constants!E:E,MATCH(($I163/12),Constants!$A:$A,0)))),0),"")</f>
        <v/>
      </c>
      <c r="AU163" s="146" t="str">
        <f>IFERROR(_xlfn.IFNA(IF($BA163="No",0,IF(INDEX(Constants!F:F,MATCH(($I163/12),Constants!$A:$A,0))=0,0,INDEX(Constants!F:F,MATCH(($I163/12),Constants!$A:$A,0)))),0),"")</f>
        <v/>
      </c>
      <c r="AV163" s="146" t="str">
        <f>IFERROR(_xlfn.IFNA(IF($BA163="No",0,IF(INDEX(Constants!G:G,MATCH(($I163/12),Constants!$A:$A,0))=0,0,INDEX(Constants!G:G,MATCH(($I163/12),Constants!$A:$A,0)))),0),"")</f>
        <v/>
      </c>
      <c r="AW163" s="146" t="str">
        <f>IFERROR(_xlfn.IFNA(IF($BA163="No",0,IF(INDEX(Constants!H:H,MATCH(($I163/12),Constants!$A:$A,0))=0,0,INDEX(Constants!H:H,MATCH(($I163/12),Constants!$A:$A,0)))),0),"")</f>
        <v/>
      </c>
      <c r="AX163" s="146" t="str">
        <f>IFERROR(_xlfn.IFNA(IF($BA163="No",0,IF(INDEX(Constants!I:I,MATCH(($I163/12),Constants!$A:$A,0))=0,0,INDEX(Constants!I:I,MATCH(($I163/12),Constants!$A:$A,0)))),0),"")</f>
        <v/>
      </c>
      <c r="AY163" s="146" t="str">
        <f>IFERROR(_xlfn.IFNA(IF($BA163="No",0,IF(INDEX(Constants!J:J,MATCH(($I163/12),Constants!$A:$A,0))=0,0,INDEX(Constants!J:J,MATCH(($I163/12),Constants!$A:$A,0)))),0),"")</f>
        <v/>
      </c>
      <c r="AZ163" s="146" t="str">
        <f>IFERROR(_xlfn.IFNA(IF($BA163="No",0,IF(INDEX(Constants!K:K,MATCH(($I163/12),Constants!$A:$A,0))=0,0,INDEX(Constants!K:K,MATCH(($I163/12),Constants!$A:$A,0)))),0),"")</f>
        <v/>
      </c>
      <c r="BA163" s="147" t="str">
        <f>_xlfn.IFNA(INDEX(Producer!$L:$L,MATCH($D163,Producer!$A:$A,0)),"")</f>
        <v/>
      </c>
      <c r="BB163" s="146" t="str">
        <f>IFERROR(IF(AQ163=0,"",IF(($I163/12)=15,_xlfn.CONCAT(Constants!$N$7,TEXT(DATE(YEAR(H163)-(($I163/12)-3),MONTH(H163),DAY(H163)),"dd/mm/yyyy"),", ",Constants!$P$7,TEXT(DATE(YEAR(H163)-(($I163/12)-8),MONTH(H163),DAY(H163)),"dd/mm/yyyy"),", ",Constants!$T$7,TEXT(DATE(YEAR(H163)-(($I163/12)-11),MONTH(H163),DAY(H163)),"dd/mm/yyyy"),", ",Constants!$V$7,TEXT(DATE(YEAR(H163)-(($I163/12)-13),MONTH(H163),DAY(H163)),"dd/mm/yyyy"),", ",Constants!$W$7,TEXT($H163,"dd/mm/yyyy")),IF(($I163/12)=10,_xlfn.CONCAT(Constants!$N$6,TEXT(DATE(YEAR(H163)-(($I163/12)-2),MONTH(H163),DAY(H163)),"dd/mm/yyyy"),", ",Constants!$P$6,TEXT(DATE(YEAR(H163)-(($I163/12)-6),MONTH(H163),DAY(H163)),"dd/mm/yyyy"),", ",Constants!$T$6,TEXT(DATE(YEAR(H163)-(($I163/12)-8),MONTH(H163),DAY(H163)),"dd/mm/yyyy"),", ",Constants!$V$6,TEXT(DATE(YEAR(H163)-(($I163/12)-9),MONTH(H163),DAY(H163)),"dd/mm/yyyy"),", ",Constants!$W$6,TEXT($H163,"dd/mm/yyyy")),IF(($I163/12)=5,_xlfn.CONCAT(Constants!$N$5,TEXT(DATE(YEAR(H163)-(($I163/12)-1),MONTH(H163),DAY(H163)),"dd/mm/yyyy"),", ",Constants!$O$5,TEXT(DATE(YEAR(H163)-(($I163/12)-2),MONTH(H163),DAY(H163)),"dd/mm/yyyy"),", ",Constants!$P$5,TEXT(DATE(YEAR(H163)-(($I163/12)-3),MONTH(H163),DAY(H163)),"dd/mm/yyyy"),", ",Constants!$Q$5,TEXT(DATE(YEAR(H163)-(($I163/12)-4),MONTH(H163),DAY(H163)),"dd/mm/yyyy"),", ",Constants!$R$5,TEXT($H163,"dd/mm/yyyy")),IF(($I163/12)=3,_xlfn.CONCAT(Constants!$N$4,TEXT(DATE(YEAR(H163)-(($I163/12)-1),MONTH(H163),DAY(H163)),"dd/mm/yyyy"),", ",Constants!$O$4,TEXT(DATE(YEAR(H163)-(($I163/12)-2),MONTH(H163),DAY(H163)),"dd/mm/yyyy"),", ",Constants!$P$4,TEXT($H163,"dd/mm/yyyy")),IF(($I163/12)=2,_xlfn.CONCAT(Constants!$N$3,TEXT(DATE(YEAR(H163)-(($I163/12)-1),MONTH(H163),DAY(H163)),"dd/mm/yyyy"),", ",Constants!$O$3,TEXT($H163,"dd/mm/yyyy")),IF(($I163/12)=1,_xlfn.CONCAT(Constants!$N$2,TEXT($H163,"dd/mm/yyyy")),"Update Constants"))))))),"")</f>
        <v/>
      </c>
      <c r="BC163" s="147" t="str">
        <f>_xlfn.IFNA(VALUE(INDEX(Producer!$K:$K,MATCH($D163,Producer!$A:$A,0))),"")</f>
        <v/>
      </c>
      <c r="BD163" s="147" t="str">
        <f>_xlfn.IFNA(INDEX(Producer!$I:$I,MATCH($D163,Producer!$A:$A,0)),"")</f>
        <v/>
      </c>
      <c r="BE163" s="147" t="str">
        <f t="shared" si="64"/>
        <v/>
      </c>
      <c r="BF163" s="147"/>
      <c r="BG163" s="147"/>
      <c r="BH163" s="151" t="str">
        <f>_xlfn.IFNA(INDEX(Constants!$B:$B,MATCH(BC163,Constants!A:A,0)),"")</f>
        <v/>
      </c>
      <c r="BI163" s="147" t="str">
        <f>IF(LEFT(B163,15)="Limited Company",Constants!$D$16,IFERROR(_xlfn.IFNA(IF(C163="Residential",IF(BK163&lt;75,INDEX(Constants!$B:$B,MATCH(VALUE(60)/100,Constants!$A:$A,0)),INDEX(Constants!$B:$B,MATCH(VALUE(BK163)/100,Constants!$A:$A,0))),IF(BK163&lt;60,INDEX(Constants!$C:$C,MATCH(VALUE(60)/100,Constants!$A:$A,0)),INDEX(Constants!$C:$C,MATCH(VALUE(BK163)/100,Constants!$A:$A,0)))),""),""))</f>
        <v/>
      </c>
      <c r="BJ163" s="147" t="str">
        <f t="shared" si="65"/>
        <v/>
      </c>
      <c r="BK163" s="147" t="str">
        <f>_xlfn.IFNA(VALUE(INDEX(Producer!$E:$E,MATCH($D163,Producer!$A:$A,0)))*100,"")</f>
        <v/>
      </c>
      <c r="BL163" s="146" t="str">
        <f>_xlfn.IFNA(IF(IFERROR(FIND("Part &amp; Part",B163),-10)&gt;0,"PP",IF(OR(LEFT(B163,25)="Residential Interest Only",INDEX(Producer!$P:$P,MATCH($D163,Producer!$A:$A,0))="IO",INDEX(Producer!$P:$P,MATCH($D163,Producer!$A:$A,0))="Retirement Interest Only"),"IO",IF($C163="BuyToLet","CI, IO","CI"))),"")</f>
        <v/>
      </c>
      <c r="BM163" s="152" t="str">
        <f>_xlfn.IFNA(IF(BL163="IO",100%,IF(AND(INDEX(Producer!$P:$P,MATCH($D163,Producer!$A:$A,0))="Residential Interest Only Part &amp; Part",BK163=75),80%,IF(C163="BuyToLet",100%,IF(BL163="Interest Only",100%,IF(AND(INDEX(Producer!$P:$P,MATCH($D163,Producer!$A:$A,0))="Residential Interest Only Part &amp; Part",BK163=60),100%,""))))),"")</f>
        <v/>
      </c>
      <c r="BN163" s="218" t="str">
        <f>_xlfn.IFNA(IF(VALUE(INDEX(Producer!$H:$H,MATCH($D163,Producer!$A:$A,0)))=0,"",VALUE(INDEX(Producer!$H:$H,MATCH($D163,Producer!$A:$A,0)))),"")</f>
        <v/>
      </c>
      <c r="BO163" s="153"/>
      <c r="BP163" s="153"/>
      <c r="BQ163" s="219" t="str">
        <f t="shared" si="66"/>
        <v/>
      </c>
      <c r="BR163" s="146"/>
      <c r="BS163" s="146"/>
      <c r="BT163" s="146"/>
      <c r="BU163" s="146"/>
      <c r="BV163" s="219" t="str">
        <f t="shared" si="67"/>
        <v/>
      </c>
      <c r="BW163" s="146"/>
      <c r="BX163" s="146"/>
      <c r="BY163" s="146" t="str">
        <f t="shared" si="68"/>
        <v/>
      </c>
      <c r="BZ163" s="146" t="str">
        <f t="shared" si="69"/>
        <v/>
      </c>
      <c r="CA163" s="146" t="str">
        <f t="shared" si="70"/>
        <v/>
      </c>
      <c r="CB163" s="146" t="str">
        <f t="shared" si="71"/>
        <v/>
      </c>
      <c r="CC163" s="146" t="str">
        <f>_xlfn.IFNA(IF(INDEX(Producer!$P:$P,MATCH($D163,Producer!$A:$A,0))="Help to Buy","Only available","No"),"")</f>
        <v/>
      </c>
      <c r="CD163" s="146" t="str">
        <f>_xlfn.IFNA(IF(INDEX(Producer!$P:$P,MATCH($D163,Producer!$A:$A,0))="Shared Ownership","Only available","No"),"")</f>
        <v/>
      </c>
      <c r="CE163" s="146" t="str">
        <f>_xlfn.IFNA(IF(INDEX(Producer!$P:$P,MATCH($D163,Producer!$A:$A,0))="Right to Buy","Only available","No"),"")</f>
        <v/>
      </c>
      <c r="CF163" s="146" t="str">
        <f t="shared" si="72"/>
        <v/>
      </c>
      <c r="CG163" s="146" t="str">
        <f>_xlfn.IFNA(IF(INDEX(Producer!$P:$P,MATCH($D163,Producer!$A:$A,0))="Retirement Interest Only","Only available","No"),"")</f>
        <v/>
      </c>
      <c r="CH163" s="146" t="str">
        <f t="shared" si="73"/>
        <v/>
      </c>
      <c r="CI163" s="146" t="str">
        <f>_xlfn.IFNA(IF(INDEX(Producer!$P:$P,MATCH($D163,Producer!$A:$A,0))="Intermediary Holiday Let","Only available","No"),"")</f>
        <v/>
      </c>
      <c r="CJ163" s="146" t="str">
        <f t="shared" si="74"/>
        <v/>
      </c>
      <c r="CK163" s="146" t="str">
        <f>_xlfn.IFNA(IF(OR(INDEX(Producer!$P:$P,MATCH($D163,Producer!$A:$A,0))="Intermediary Small HMO",INDEX(Producer!$P:$P,MATCH($D163,Producer!$A:$A,0))="Intermediary Large HMO"),"Only available","No"),"")</f>
        <v/>
      </c>
      <c r="CL163" s="146" t="str">
        <f t="shared" si="75"/>
        <v/>
      </c>
      <c r="CM163" s="146" t="str">
        <f t="shared" si="76"/>
        <v/>
      </c>
      <c r="CN163" s="146" t="str">
        <f t="shared" si="77"/>
        <v/>
      </c>
      <c r="CO163" s="146" t="str">
        <f t="shared" si="78"/>
        <v/>
      </c>
      <c r="CP163" s="146" t="str">
        <f t="shared" si="79"/>
        <v/>
      </c>
      <c r="CQ163" s="146" t="str">
        <f t="shared" si="80"/>
        <v/>
      </c>
      <c r="CR163" s="146" t="str">
        <f t="shared" si="81"/>
        <v/>
      </c>
      <c r="CS163" s="146" t="str">
        <f t="shared" si="82"/>
        <v/>
      </c>
      <c r="CT163" s="146" t="str">
        <f t="shared" si="83"/>
        <v/>
      </c>
      <c r="CU163" s="146"/>
    </row>
    <row r="164" spans="1:99" ht="16.399999999999999" customHeight="1" x14ac:dyDescent="0.35">
      <c r="A164" s="145" t="str">
        <f t="shared" si="56"/>
        <v/>
      </c>
      <c r="B164" s="145" t="str">
        <f>_xlfn.IFNA(_xlfn.CONCAT(INDEX(Producer!$P:$P,MATCH($D164,Producer!$A:$A,0))," ",IF(INDEX(Producer!$N:$N,MATCH($D164,Producer!$A:$A,0))="Yes","Green ",""),IF(AND(INDEX(Producer!$L:$L,MATCH($D164,Producer!$A:$A,0))="No",INDEX(Producer!$C:$C,MATCH($D164,Producer!$A:$A,0))="Fixed"),"Flexit ",""),INDEX(Producer!$B:$B,MATCH($D164,Producer!$A:$A,0))," Year ",INDEX(Producer!$C:$C,MATCH($D164,Producer!$A:$A,0))," ",VALUE(INDEX(Producer!$E:$E,MATCH($D164,Producer!$A:$A,0)))*100,"% LTV",IF(INDEX(Producer!$N:$N,MATCH($D164,Producer!$A:$A,0))="Yes"," (EPC A-C)","")," - ",IF(INDEX(Producer!$D:$D,MATCH($D164,Producer!$A:$A,0))="DLY","Daily","Annual")),"")</f>
        <v/>
      </c>
      <c r="C164" s="146" t="str">
        <f>_xlfn.IFNA(INDEX(Producer!$Q:$Q,MATCH($D164,Producer!$A:$A,0)),"")</f>
        <v/>
      </c>
      <c r="D164" s="146" t="str">
        <f>IFERROR(VALUE(MID(Producer!$R$2,IF($D163="",1/0,FIND(_xlfn.CONCAT($D162,$D163),Producer!$R$2)+10),5)),"")</f>
        <v/>
      </c>
      <c r="E164" s="146" t="str">
        <f t="shared" si="57"/>
        <v/>
      </c>
      <c r="F164" s="146"/>
      <c r="G164" s="147" t="str">
        <f>_xlfn.IFNA(VALUE(INDEX(Producer!$F:$F,MATCH($D164,Producer!$A:$A,0)))*100,"")</f>
        <v/>
      </c>
      <c r="H164" s="216" t="str">
        <f>_xlfn.IFNA(IFERROR(DATEVALUE(INDEX(Producer!$M:$M,MATCH($D164,Producer!$A:$A,0))),(INDEX(Producer!$M:$M,MATCH($D164,Producer!$A:$A,0)))),"")</f>
        <v/>
      </c>
      <c r="I164" s="217" t="str">
        <f>_xlfn.IFNA(VALUE(INDEX(Producer!$B:$B,MATCH($D164,Producer!$A:$A,0)))*12,"")</f>
        <v/>
      </c>
      <c r="J164" s="146" t="str">
        <f>_xlfn.IFNA(IF(C164="Residential",IF(VALUE(INDEX(Producer!$B:$B,MATCH($D164,Producer!$A:$A,0)))&lt;5,Constants!$C$10,""),IF(VALUE(INDEX(Producer!$B:$B,MATCH($D164,Producer!$A:$A,0)))&lt;5,Constants!$C$11,"")),"")</f>
        <v/>
      </c>
      <c r="K164" s="216" t="str">
        <f>_xlfn.IFNA(IF(($I164)&lt;60,DATE(YEAR(H164)+(5-VALUE(INDEX(Producer!$B:$B,MATCH($D164,Producer!$A:$A,0)))),MONTH(H164),DAY(H164)),""),"")</f>
        <v/>
      </c>
      <c r="L164" s="153" t="str">
        <f t="shared" si="58"/>
        <v/>
      </c>
      <c r="M164" s="146"/>
      <c r="N164" s="148"/>
      <c r="O164" s="148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 t="str">
        <f>IF(D164="","",IF(C164="Residential",Constants!$B$10,Constants!$B$11))</f>
        <v/>
      </c>
      <c r="AL164" s="146" t="str">
        <f t="shared" si="59"/>
        <v/>
      </c>
      <c r="AM164" s="206" t="str">
        <f t="shared" si="60"/>
        <v/>
      </c>
      <c r="AN164" s="146" t="str">
        <f t="shared" si="61"/>
        <v/>
      </c>
      <c r="AO164" s="149" t="str">
        <f t="shared" si="62"/>
        <v/>
      </c>
      <c r="AP164" s="150" t="str">
        <f t="shared" si="63"/>
        <v/>
      </c>
      <c r="AQ164" s="146" t="str">
        <f>IFERROR(_xlfn.IFNA(IF($BA164="No",0,IF(INDEX(Constants!B:B,MATCH(($I164/12),Constants!$A:$A,0))=0,0,INDEX(Constants!B:B,MATCH(($I164/12),Constants!$A:$A,0)))),0),"")</f>
        <v/>
      </c>
      <c r="AR164" s="146" t="str">
        <f>IFERROR(_xlfn.IFNA(IF($BA164="No",0,IF(INDEX(Constants!C:C,MATCH(($I164/12),Constants!$A:$A,0))=0,0,INDEX(Constants!C:C,MATCH(($I164/12),Constants!$A:$A,0)))),0),"")</f>
        <v/>
      </c>
      <c r="AS164" s="146" t="str">
        <f>IFERROR(_xlfn.IFNA(IF($BA164="No",0,IF(INDEX(Constants!D:D,MATCH(($I164/12),Constants!$A:$A,0))=0,0,INDEX(Constants!D:D,MATCH(($I164/12),Constants!$A:$A,0)))),0),"")</f>
        <v/>
      </c>
      <c r="AT164" s="146" t="str">
        <f>IFERROR(_xlfn.IFNA(IF($BA164="No",0,IF(INDEX(Constants!E:E,MATCH(($I164/12),Constants!$A:$A,0))=0,0,INDEX(Constants!E:E,MATCH(($I164/12),Constants!$A:$A,0)))),0),"")</f>
        <v/>
      </c>
      <c r="AU164" s="146" t="str">
        <f>IFERROR(_xlfn.IFNA(IF($BA164="No",0,IF(INDEX(Constants!F:F,MATCH(($I164/12),Constants!$A:$A,0))=0,0,INDEX(Constants!F:F,MATCH(($I164/12),Constants!$A:$A,0)))),0),"")</f>
        <v/>
      </c>
      <c r="AV164" s="146" t="str">
        <f>IFERROR(_xlfn.IFNA(IF($BA164="No",0,IF(INDEX(Constants!G:G,MATCH(($I164/12),Constants!$A:$A,0))=0,0,INDEX(Constants!G:G,MATCH(($I164/12),Constants!$A:$A,0)))),0),"")</f>
        <v/>
      </c>
      <c r="AW164" s="146" t="str">
        <f>IFERROR(_xlfn.IFNA(IF($BA164="No",0,IF(INDEX(Constants!H:H,MATCH(($I164/12),Constants!$A:$A,0))=0,0,INDEX(Constants!H:H,MATCH(($I164/12),Constants!$A:$A,0)))),0),"")</f>
        <v/>
      </c>
      <c r="AX164" s="146" t="str">
        <f>IFERROR(_xlfn.IFNA(IF($BA164="No",0,IF(INDEX(Constants!I:I,MATCH(($I164/12),Constants!$A:$A,0))=0,0,INDEX(Constants!I:I,MATCH(($I164/12),Constants!$A:$A,0)))),0),"")</f>
        <v/>
      </c>
      <c r="AY164" s="146" t="str">
        <f>IFERROR(_xlfn.IFNA(IF($BA164="No",0,IF(INDEX(Constants!J:J,MATCH(($I164/12),Constants!$A:$A,0))=0,0,INDEX(Constants!J:J,MATCH(($I164/12),Constants!$A:$A,0)))),0),"")</f>
        <v/>
      </c>
      <c r="AZ164" s="146" t="str">
        <f>IFERROR(_xlfn.IFNA(IF($BA164="No",0,IF(INDEX(Constants!K:K,MATCH(($I164/12),Constants!$A:$A,0))=0,0,INDEX(Constants!K:K,MATCH(($I164/12),Constants!$A:$A,0)))),0),"")</f>
        <v/>
      </c>
      <c r="BA164" s="147" t="str">
        <f>_xlfn.IFNA(INDEX(Producer!$L:$L,MATCH($D164,Producer!$A:$A,0)),"")</f>
        <v/>
      </c>
      <c r="BB164" s="146" t="str">
        <f>IFERROR(IF(AQ164=0,"",IF(($I164/12)=15,_xlfn.CONCAT(Constants!$N$7,TEXT(DATE(YEAR(H164)-(($I164/12)-3),MONTH(H164),DAY(H164)),"dd/mm/yyyy"),", ",Constants!$P$7,TEXT(DATE(YEAR(H164)-(($I164/12)-8),MONTH(H164),DAY(H164)),"dd/mm/yyyy"),", ",Constants!$T$7,TEXT(DATE(YEAR(H164)-(($I164/12)-11),MONTH(H164),DAY(H164)),"dd/mm/yyyy"),", ",Constants!$V$7,TEXT(DATE(YEAR(H164)-(($I164/12)-13),MONTH(H164),DAY(H164)),"dd/mm/yyyy"),", ",Constants!$W$7,TEXT($H164,"dd/mm/yyyy")),IF(($I164/12)=10,_xlfn.CONCAT(Constants!$N$6,TEXT(DATE(YEAR(H164)-(($I164/12)-2),MONTH(H164),DAY(H164)),"dd/mm/yyyy"),", ",Constants!$P$6,TEXT(DATE(YEAR(H164)-(($I164/12)-6),MONTH(H164),DAY(H164)),"dd/mm/yyyy"),", ",Constants!$T$6,TEXT(DATE(YEAR(H164)-(($I164/12)-8),MONTH(H164),DAY(H164)),"dd/mm/yyyy"),", ",Constants!$V$6,TEXT(DATE(YEAR(H164)-(($I164/12)-9),MONTH(H164),DAY(H164)),"dd/mm/yyyy"),", ",Constants!$W$6,TEXT($H164,"dd/mm/yyyy")),IF(($I164/12)=5,_xlfn.CONCAT(Constants!$N$5,TEXT(DATE(YEAR(H164)-(($I164/12)-1),MONTH(H164),DAY(H164)),"dd/mm/yyyy"),", ",Constants!$O$5,TEXT(DATE(YEAR(H164)-(($I164/12)-2),MONTH(H164),DAY(H164)),"dd/mm/yyyy"),", ",Constants!$P$5,TEXT(DATE(YEAR(H164)-(($I164/12)-3),MONTH(H164),DAY(H164)),"dd/mm/yyyy"),", ",Constants!$Q$5,TEXT(DATE(YEAR(H164)-(($I164/12)-4),MONTH(H164),DAY(H164)),"dd/mm/yyyy"),", ",Constants!$R$5,TEXT($H164,"dd/mm/yyyy")),IF(($I164/12)=3,_xlfn.CONCAT(Constants!$N$4,TEXT(DATE(YEAR(H164)-(($I164/12)-1),MONTH(H164),DAY(H164)),"dd/mm/yyyy"),", ",Constants!$O$4,TEXT(DATE(YEAR(H164)-(($I164/12)-2),MONTH(H164),DAY(H164)),"dd/mm/yyyy"),", ",Constants!$P$4,TEXT($H164,"dd/mm/yyyy")),IF(($I164/12)=2,_xlfn.CONCAT(Constants!$N$3,TEXT(DATE(YEAR(H164)-(($I164/12)-1),MONTH(H164),DAY(H164)),"dd/mm/yyyy"),", ",Constants!$O$3,TEXT($H164,"dd/mm/yyyy")),IF(($I164/12)=1,_xlfn.CONCAT(Constants!$N$2,TEXT($H164,"dd/mm/yyyy")),"Update Constants"))))))),"")</f>
        <v/>
      </c>
      <c r="BC164" s="147" t="str">
        <f>_xlfn.IFNA(VALUE(INDEX(Producer!$K:$K,MATCH($D164,Producer!$A:$A,0))),"")</f>
        <v/>
      </c>
      <c r="BD164" s="147" t="str">
        <f>_xlfn.IFNA(INDEX(Producer!$I:$I,MATCH($D164,Producer!$A:$A,0)),"")</f>
        <v/>
      </c>
      <c r="BE164" s="147" t="str">
        <f t="shared" si="64"/>
        <v/>
      </c>
      <c r="BF164" s="147"/>
      <c r="BG164" s="147"/>
      <c r="BH164" s="151" t="str">
        <f>_xlfn.IFNA(INDEX(Constants!$B:$B,MATCH(BC164,Constants!A:A,0)),"")</f>
        <v/>
      </c>
      <c r="BI164" s="147" t="str">
        <f>IF(LEFT(B164,15)="Limited Company",Constants!$D$16,IFERROR(_xlfn.IFNA(IF(C164="Residential",IF(BK164&lt;75,INDEX(Constants!$B:$B,MATCH(VALUE(60)/100,Constants!$A:$A,0)),INDEX(Constants!$B:$B,MATCH(VALUE(BK164)/100,Constants!$A:$A,0))),IF(BK164&lt;60,INDEX(Constants!$C:$C,MATCH(VALUE(60)/100,Constants!$A:$A,0)),INDEX(Constants!$C:$C,MATCH(VALUE(BK164)/100,Constants!$A:$A,0)))),""),""))</f>
        <v/>
      </c>
      <c r="BJ164" s="147" t="str">
        <f t="shared" si="65"/>
        <v/>
      </c>
      <c r="BK164" s="147" t="str">
        <f>_xlfn.IFNA(VALUE(INDEX(Producer!$E:$E,MATCH($D164,Producer!$A:$A,0)))*100,"")</f>
        <v/>
      </c>
      <c r="BL164" s="146" t="str">
        <f>_xlfn.IFNA(IF(IFERROR(FIND("Part &amp; Part",B164),-10)&gt;0,"PP",IF(OR(LEFT(B164,25)="Residential Interest Only",INDEX(Producer!$P:$P,MATCH($D164,Producer!$A:$A,0))="IO",INDEX(Producer!$P:$P,MATCH($D164,Producer!$A:$A,0))="Retirement Interest Only"),"IO",IF($C164="BuyToLet","CI, IO","CI"))),"")</f>
        <v/>
      </c>
      <c r="BM164" s="152" t="str">
        <f>_xlfn.IFNA(IF(BL164="IO",100%,IF(AND(INDEX(Producer!$P:$P,MATCH($D164,Producer!$A:$A,0))="Residential Interest Only Part &amp; Part",BK164=75),80%,IF(C164="BuyToLet",100%,IF(BL164="Interest Only",100%,IF(AND(INDEX(Producer!$P:$P,MATCH($D164,Producer!$A:$A,0))="Residential Interest Only Part &amp; Part",BK164=60),100%,""))))),"")</f>
        <v/>
      </c>
      <c r="BN164" s="218" t="str">
        <f>_xlfn.IFNA(IF(VALUE(INDEX(Producer!$H:$H,MATCH($D164,Producer!$A:$A,0)))=0,"",VALUE(INDEX(Producer!$H:$H,MATCH($D164,Producer!$A:$A,0)))),"")</f>
        <v/>
      </c>
      <c r="BO164" s="153"/>
      <c r="BP164" s="153"/>
      <c r="BQ164" s="219" t="str">
        <f t="shared" si="66"/>
        <v/>
      </c>
      <c r="BR164" s="146"/>
      <c r="BS164" s="146"/>
      <c r="BT164" s="146"/>
      <c r="BU164" s="146"/>
      <c r="BV164" s="219" t="str">
        <f t="shared" si="67"/>
        <v/>
      </c>
      <c r="BW164" s="146"/>
      <c r="BX164" s="146"/>
      <c r="BY164" s="146" t="str">
        <f t="shared" si="68"/>
        <v/>
      </c>
      <c r="BZ164" s="146" t="str">
        <f t="shared" si="69"/>
        <v/>
      </c>
      <c r="CA164" s="146" t="str">
        <f t="shared" si="70"/>
        <v/>
      </c>
      <c r="CB164" s="146" t="str">
        <f t="shared" si="71"/>
        <v/>
      </c>
      <c r="CC164" s="146" t="str">
        <f>_xlfn.IFNA(IF(INDEX(Producer!$P:$P,MATCH($D164,Producer!$A:$A,0))="Help to Buy","Only available","No"),"")</f>
        <v/>
      </c>
      <c r="CD164" s="146" t="str">
        <f>_xlfn.IFNA(IF(INDEX(Producer!$P:$P,MATCH($D164,Producer!$A:$A,0))="Shared Ownership","Only available","No"),"")</f>
        <v/>
      </c>
      <c r="CE164" s="146" t="str">
        <f>_xlfn.IFNA(IF(INDEX(Producer!$P:$P,MATCH($D164,Producer!$A:$A,0))="Right to Buy","Only available","No"),"")</f>
        <v/>
      </c>
      <c r="CF164" s="146" t="str">
        <f t="shared" si="72"/>
        <v/>
      </c>
      <c r="CG164" s="146" t="str">
        <f>_xlfn.IFNA(IF(INDEX(Producer!$P:$P,MATCH($D164,Producer!$A:$A,0))="Retirement Interest Only","Only available","No"),"")</f>
        <v/>
      </c>
      <c r="CH164" s="146" t="str">
        <f t="shared" si="73"/>
        <v/>
      </c>
      <c r="CI164" s="146" t="str">
        <f>_xlfn.IFNA(IF(INDEX(Producer!$P:$P,MATCH($D164,Producer!$A:$A,0))="Intermediary Holiday Let","Only available","No"),"")</f>
        <v/>
      </c>
      <c r="CJ164" s="146" t="str">
        <f t="shared" si="74"/>
        <v/>
      </c>
      <c r="CK164" s="146" t="str">
        <f>_xlfn.IFNA(IF(OR(INDEX(Producer!$P:$P,MATCH($D164,Producer!$A:$A,0))="Intermediary Small HMO",INDEX(Producer!$P:$P,MATCH($D164,Producer!$A:$A,0))="Intermediary Large HMO"),"Only available","No"),"")</f>
        <v/>
      </c>
      <c r="CL164" s="146" t="str">
        <f t="shared" si="75"/>
        <v/>
      </c>
      <c r="CM164" s="146" t="str">
        <f t="shared" si="76"/>
        <v/>
      </c>
      <c r="CN164" s="146" t="str">
        <f t="shared" si="77"/>
        <v/>
      </c>
      <c r="CO164" s="146" t="str">
        <f t="shared" si="78"/>
        <v/>
      </c>
      <c r="CP164" s="146" t="str">
        <f t="shared" si="79"/>
        <v/>
      </c>
      <c r="CQ164" s="146" t="str">
        <f t="shared" si="80"/>
        <v/>
      </c>
      <c r="CR164" s="146" t="str">
        <f t="shared" si="81"/>
        <v/>
      </c>
      <c r="CS164" s="146" t="str">
        <f t="shared" si="82"/>
        <v/>
      </c>
      <c r="CT164" s="146" t="str">
        <f t="shared" si="83"/>
        <v/>
      </c>
      <c r="CU164" s="146"/>
    </row>
    <row r="165" spans="1:99" ht="16.399999999999999" customHeight="1" x14ac:dyDescent="0.35">
      <c r="A165" s="145" t="str">
        <f t="shared" si="56"/>
        <v/>
      </c>
      <c r="B165" s="145" t="str">
        <f>_xlfn.IFNA(_xlfn.CONCAT(INDEX(Producer!$P:$P,MATCH($D165,Producer!$A:$A,0))," ",IF(INDEX(Producer!$N:$N,MATCH($D165,Producer!$A:$A,0))="Yes","Green ",""),IF(AND(INDEX(Producer!$L:$L,MATCH($D165,Producer!$A:$A,0))="No",INDEX(Producer!$C:$C,MATCH($D165,Producer!$A:$A,0))="Fixed"),"Flexit ",""),INDEX(Producer!$B:$B,MATCH($D165,Producer!$A:$A,0))," Year ",INDEX(Producer!$C:$C,MATCH($D165,Producer!$A:$A,0))," ",VALUE(INDEX(Producer!$E:$E,MATCH($D165,Producer!$A:$A,0)))*100,"% LTV",IF(INDEX(Producer!$N:$N,MATCH($D165,Producer!$A:$A,0))="Yes"," (EPC A-C)","")," - ",IF(INDEX(Producer!$D:$D,MATCH($D165,Producer!$A:$A,0))="DLY","Daily","Annual")),"")</f>
        <v/>
      </c>
      <c r="C165" s="146" t="str">
        <f>_xlfn.IFNA(INDEX(Producer!$Q:$Q,MATCH($D165,Producer!$A:$A,0)),"")</f>
        <v/>
      </c>
      <c r="D165" s="146" t="str">
        <f>IFERROR(VALUE(MID(Producer!$R$2,IF($D164="",1/0,FIND(_xlfn.CONCAT($D163,$D164),Producer!$R$2)+10),5)),"")</f>
        <v/>
      </c>
      <c r="E165" s="146" t="str">
        <f t="shared" si="57"/>
        <v/>
      </c>
      <c r="F165" s="146"/>
      <c r="G165" s="147" t="str">
        <f>_xlfn.IFNA(VALUE(INDEX(Producer!$F:$F,MATCH($D165,Producer!$A:$A,0)))*100,"")</f>
        <v/>
      </c>
      <c r="H165" s="216" t="str">
        <f>_xlfn.IFNA(IFERROR(DATEVALUE(INDEX(Producer!$M:$M,MATCH($D165,Producer!$A:$A,0))),(INDEX(Producer!$M:$M,MATCH($D165,Producer!$A:$A,0)))),"")</f>
        <v/>
      </c>
      <c r="I165" s="217" t="str">
        <f>_xlfn.IFNA(VALUE(INDEX(Producer!$B:$B,MATCH($D165,Producer!$A:$A,0)))*12,"")</f>
        <v/>
      </c>
      <c r="J165" s="146" t="str">
        <f>_xlfn.IFNA(IF(C165="Residential",IF(VALUE(INDEX(Producer!$B:$B,MATCH($D165,Producer!$A:$A,0)))&lt;5,Constants!$C$10,""),IF(VALUE(INDEX(Producer!$B:$B,MATCH($D165,Producer!$A:$A,0)))&lt;5,Constants!$C$11,"")),"")</f>
        <v/>
      </c>
      <c r="K165" s="216" t="str">
        <f>_xlfn.IFNA(IF(($I165)&lt;60,DATE(YEAR(H165)+(5-VALUE(INDEX(Producer!$B:$B,MATCH($D165,Producer!$A:$A,0)))),MONTH(H165),DAY(H165)),""),"")</f>
        <v/>
      </c>
      <c r="L165" s="153" t="str">
        <f t="shared" si="58"/>
        <v/>
      </c>
      <c r="M165" s="146"/>
      <c r="N165" s="148"/>
      <c r="O165" s="148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6" t="str">
        <f>IF(D165="","",IF(C165="Residential",Constants!$B$10,Constants!$B$11))</f>
        <v/>
      </c>
      <c r="AL165" s="146" t="str">
        <f t="shared" si="59"/>
        <v/>
      </c>
      <c r="AM165" s="206" t="str">
        <f t="shared" si="60"/>
        <v/>
      </c>
      <c r="AN165" s="146" t="str">
        <f t="shared" si="61"/>
        <v/>
      </c>
      <c r="AO165" s="149" t="str">
        <f t="shared" si="62"/>
        <v/>
      </c>
      <c r="AP165" s="150" t="str">
        <f t="shared" si="63"/>
        <v/>
      </c>
      <c r="AQ165" s="146" t="str">
        <f>IFERROR(_xlfn.IFNA(IF($BA165="No",0,IF(INDEX(Constants!B:B,MATCH(($I165/12),Constants!$A:$A,0))=0,0,INDEX(Constants!B:B,MATCH(($I165/12),Constants!$A:$A,0)))),0),"")</f>
        <v/>
      </c>
      <c r="AR165" s="146" t="str">
        <f>IFERROR(_xlfn.IFNA(IF($BA165="No",0,IF(INDEX(Constants!C:C,MATCH(($I165/12),Constants!$A:$A,0))=0,0,INDEX(Constants!C:C,MATCH(($I165/12),Constants!$A:$A,0)))),0),"")</f>
        <v/>
      </c>
      <c r="AS165" s="146" t="str">
        <f>IFERROR(_xlfn.IFNA(IF($BA165="No",0,IF(INDEX(Constants!D:D,MATCH(($I165/12),Constants!$A:$A,0))=0,0,INDEX(Constants!D:D,MATCH(($I165/12),Constants!$A:$A,0)))),0),"")</f>
        <v/>
      </c>
      <c r="AT165" s="146" t="str">
        <f>IFERROR(_xlfn.IFNA(IF($BA165="No",0,IF(INDEX(Constants!E:E,MATCH(($I165/12),Constants!$A:$A,0))=0,0,INDEX(Constants!E:E,MATCH(($I165/12),Constants!$A:$A,0)))),0),"")</f>
        <v/>
      </c>
      <c r="AU165" s="146" t="str">
        <f>IFERROR(_xlfn.IFNA(IF($BA165="No",0,IF(INDEX(Constants!F:F,MATCH(($I165/12),Constants!$A:$A,0))=0,0,INDEX(Constants!F:F,MATCH(($I165/12),Constants!$A:$A,0)))),0),"")</f>
        <v/>
      </c>
      <c r="AV165" s="146" t="str">
        <f>IFERROR(_xlfn.IFNA(IF($BA165="No",0,IF(INDEX(Constants!G:G,MATCH(($I165/12),Constants!$A:$A,0))=0,0,INDEX(Constants!G:G,MATCH(($I165/12),Constants!$A:$A,0)))),0),"")</f>
        <v/>
      </c>
      <c r="AW165" s="146" t="str">
        <f>IFERROR(_xlfn.IFNA(IF($BA165="No",0,IF(INDEX(Constants!H:H,MATCH(($I165/12),Constants!$A:$A,0))=0,0,INDEX(Constants!H:H,MATCH(($I165/12),Constants!$A:$A,0)))),0),"")</f>
        <v/>
      </c>
      <c r="AX165" s="146" t="str">
        <f>IFERROR(_xlfn.IFNA(IF($BA165="No",0,IF(INDEX(Constants!I:I,MATCH(($I165/12),Constants!$A:$A,0))=0,0,INDEX(Constants!I:I,MATCH(($I165/12),Constants!$A:$A,0)))),0),"")</f>
        <v/>
      </c>
      <c r="AY165" s="146" t="str">
        <f>IFERROR(_xlfn.IFNA(IF($BA165="No",0,IF(INDEX(Constants!J:J,MATCH(($I165/12),Constants!$A:$A,0))=0,0,INDEX(Constants!J:J,MATCH(($I165/12),Constants!$A:$A,0)))),0),"")</f>
        <v/>
      </c>
      <c r="AZ165" s="146" t="str">
        <f>IFERROR(_xlfn.IFNA(IF($BA165="No",0,IF(INDEX(Constants!K:K,MATCH(($I165/12),Constants!$A:$A,0))=0,0,INDEX(Constants!K:K,MATCH(($I165/12),Constants!$A:$A,0)))),0),"")</f>
        <v/>
      </c>
      <c r="BA165" s="147" t="str">
        <f>_xlfn.IFNA(INDEX(Producer!$L:$L,MATCH($D165,Producer!$A:$A,0)),"")</f>
        <v/>
      </c>
      <c r="BB165" s="146" t="str">
        <f>IFERROR(IF(AQ165=0,"",IF(($I165/12)=15,_xlfn.CONCAT(Constants!$N$7,TEXT(DATE(YEAR(H165)-(($I165/12)-3),MONTH(H165),DAY(H165)),"dd/mm/yyyy"),", ",Constants!$P$7,TEXT(DATE(YEAR(H165)-(($I165/12)-8),MONTH(H165),DAY(H165)),"dd/mm/yyyy"),", ",Constants!$T$7,TEXT(DATE(YEAR(H165)-(($I165/12)-11),MONTH(H165),DAY(H165)),"dd/mm/yyyy"),", ",Constants!$V$7,TEXT(DATE(YEAR(H165)-(($I165/12)-13),MONTH(H165),DAY(H165)),"dd/mm/yyyy"),", ",Constants!$W$7,TEXT($H165,"dd/mm/yyyy")),IF(($I165/12)=10,_xlfn.CONCAT(Constants!$N$6,TEXT(DATE(YEAR(H165)-(($I165/12)-2),MONTH(H165),DAY(H165)),"dd/mm/yyyy"),", ",Constants!$P$6,TEXT(DATE(YEAR(H165)-(($I165/12)-6),MONTH(H165),DAY(H165)),"dd/mm/yyyy"),", ",Constants!$T$6,TEXT(DATE(YEAR(H165)-(($I165/12)-8),MONTH(H165),DAY(H165)),"dd/mm/yyyy"),", ",Constants!$V$6,TEXT(DATE(YEAR(H165)-(($I165/12)-9),MONTH(H165),DAY(H165)),"dd/mm/yyyy"),", ",Constants!$W$6,TEXT($H165,"dd/mm/yyyy")),IF(($I165/12)=5,_xlfn.CONCAT(Constants!$N$5,TEXT(DATE(YEAR(H165)-(($I165/12)-1),MONTH(H165),DAY(H165)),"dd/mm/yyyy"),", ",Constants!$O$5,TEXT(DATE(YEAR(H165)-(($I165/12)-2),MONTH(H165),DAY(H165)),"dd/mm/yyyy"),", ",Constants!$P$5,TEXT(DATE(YEAR(H165)-(($I165/12)-3),MONTH(H165),DAY(H165)),"dd/mm/yyyy"),", ",Constants!$Q$5,TEXT(DATE(YEAR(H165)-(($I165/12)-4),MONTH(H165),DAY(H165)),"dd/mm/yyyy"),", ",Constants!$R$5,TEXT($H165,"dd/mm/yyyy")),IF(($I165/12)=3,_xlfn.CONCAT(Constants!$N$4,TEXT(DATE(YEAR(H165)-(($I165/12)-1),MONTH(H165),DAY(H165)),"dd/mm/yyyy"),", ",Constants!$O$4,TEXT(DATE(YEAR(H165)-(($I165/12)-2),MONTH(H165),DAY(H165)),"dd/mm/yyyy"),", ",Constants!$P$4,TEXT($H165,"dd/mm/yyyy")),IF(($I165/12)=2,_xlfn.CONCAT(Constants!$N$3,TEXT(DATE(YEAR(H165)-(($I165/12)-1),MONTH(H165),DAY(H165)),"dd/mm/yyyy"),", ",Constants!$O$3,TEXT($H165,"dd/mm/yyyy")),IF(($I165/12)=1,_xlfn.CONCAT(Constants!$N$2,TEXT($H165,"dd/mm/yyyy")),"Update Constants"))))))),"")</f>
        <v/>
      </c>
      <c r="BC165" s="147" t="str">
        <f>_xlfn.IFNA(VALUE(INDEX(Producer!$K:$K,MATCH($D165,Producer!$A:$A,0))),"")</f>
        <v/>
      </c>
      <c r="BD165" s="147" t="str">
        <f>_xlfn.IFNA(INDEX(Producer!$I:$I,MATCH($D165,Producer!$A:$A,0)),"")</f>
        <v/>
      </c>
      <c r="BE165" s="147" t="str">
        <f t="shared" si="64"/>
        <v/>
      </c>
      <c r="BF165" s="147"/>
      <c r="BG165" s="147"/>
      <c r="BH165" s="151" t="str">
        <f>_xlfn.IFNA(INDEX(Constants!$B:$B,MATCH(BC165,Constants!A:A,0)),"")</f>
        <v/>
      </c>
      <c r="BI165" s="147" t="str">
        <f>IF(LEFT(B165,15)="Limited Company",Constants!$D$16,IFERROR(_xlfn.IFNA(IF(C165="Residential",IF(BK165&lt;75,INDEX(Constants!$B:$B,MATCH(VALUE(60)/100,Constants!$A:$A,0)),INDEX(Constants!$B:$B,MATCH(VALUE(BK165)/100,Constants!$A:$A,0))),IF(BK165&lt;60,INDEX(Constants!$C:$C,MATCH(VALUE(60)/100,Constants!$A:$A,0)),INDEX(Constants!$C:$C,MATCH(VALUE(BK165)/100,Constants!$A:$A,0)))),""),""))</f>
        <v/>
      </c>
      <c r="BJ165" s="147" t="str">
        <f t="shared" si="65"/>
        <v/>
      </c>
      <c r="BK165" s="147" t="str">
        <f>_xlfn.IFNA(VALUE(INDEX(Producer!$E:$E,MATCH($D165,Producer!$A:$A,0)))*100,"")</f>
        <v/>
      </c>
      <c r="BL165" s="146" t="str">
        <f>_xlfn.IFNA(IF(IFERROR(FIND("Part &amp; Part",B165),-10)&gt;0,"PP",IF(OR(LEFT(B165,25)="Residential Interest Only",INDEX(Producer!$P:$P,MATCH($D165,Producer!$A:$A,0))="IO",INDEX(Producer!$P:$P,MATCH($D165,Producer!$A:$A,0))="Retirement Interest Only"),"IO",IF($C165="BuyToLet","CI, IO","CI"))),"")</f>
        <v/>
      </c>
      <c r="BM165" s="152" t="str">
        <f>_xlfn.IFNA(IF(BL165="IO",100%,IF(AND(INDEX(Producer!$P:$P,MATCH($D165,Producer!$A:$A,0))="Residential Interest Only Part &amp; Part",BK165=75),80%,IF(C165="BuyToLet",100%,IF(BL165="Interest Only",100%,IF(AND(INDEX(Producer!$P:$P,MATCH($D165,Producer!$A:$A,0))="Residential Interest Only Part &amp; Part",BK165=60),100%,""))))),"")</f>
        <v/>
      </c>
      <c r="BN165" s="218" t="str">
        <f>_xlfn.IFNA(IF(VALUE(INDEX(Producer!$H:$H,MATCH($D165,Producer!$A:$A,0)))=0,"",VALUE(INDEX(Producer!$H:$H,MATCH($D165,Producer!$A:$A,0)))),"")</f>
        <v/>
      </c>
      <c r="BO165" s="153"/>
      <c r="BP165" s="153"/>
      <c r="BQ165" s="219" t="str">
        <f t="shared" si="66"/>
        <v/>
      </c>
      <c r="BR165" s="146"/>
      <c r="BS165" s="146"/>
      <c r="BT165" s="146"/>
      <c r="BU165" s="146"/>
      <c r="BV165" s="219" t="str">
        <f t="shared" si="67"/>
        <v/>
      </c>
      <c r="BW165" s="146"/>
      <c r="BX165" s="146"/>
      <c r="BY165" s="146" t="str">
        <f t="shared" si="68"/>
        <v/>
      </c>
      <c r="BZ165" s="146" t="str">
        <f t="shared" si="69"/>
        <v/>
      </c>
      <c r="CA165" s="146" t="str">
        <f t="shared" si="70"/>
        <v/>
      </c>
      <c r="CB165" s="146" t="str">
        <f t="shared" si="71"/>
        <v/>
      </c>
      <c r="CC165" s="146" t="str">
        <f>_xlfn.IFNA(IF(INDEX(Producer!$P:$P,MATCH($D165,Producer!$A:$A,0))="Help to Buy","Only available","No"),"")</f>
        <v/>
      </c>
      <c r="CD165" s="146" t="str">
        <f>_xlfn.IFNA(IF(INDEX(Producer!$P:$P,MATCH($D165,Producer!$A:$A,0))="Shared Ownership","Only available","No"),"")</f>
        <v/>
      </c>
      <c r="CE165" s="146" t="str">
        <f>_xlfn.IFNA(IF(INDEX(Producer!$P:$P,MATCH($D165,Producer!$A:$A,0))="Right to Buy","Only available","No"),"")</f>
        <v/>
      </c>
      <c r="CF165" s="146" t="str">
        <f t="shared" si="72"/>
        <v/>
      </c>
      <c r="CG165" s="146" t="str">
        <f>_xlfn.IFNA(IF(INDEX(Producer!$P:$P,MATCH($D165,Producer!$A:$A,0))="Retirement Interest Only","Only available","No"),"")</f>
        <v/>
      </c>
      <c r="CH165" s="146" t="str">
        <f t="shared" si="73"/>
        <v/>
      </c>
      <c r="CI165" s="146" t="str">
        <f>_xlfn.IFNA(IF(INDEX(Producer!$P:$P,MATCH($D165,Producer!$A:$A,0))="Intermediary Holiday Let","Only available","No"),"")</f>
        <v/>
      </c>
      <c r="CJ165" s="146" t="str">
        <f t="shared" si="74"/>
        <v/>
      </c>
      <c r="CK165" s="146" t="str">
        <f>_xlfn.IFNA(IF(OR(INDEX(Producer!$P:$P,MATCH($D165,Producer!$A:$A,0))="Intermediary Small HMO",INDEX(Producer!$P:$P,MATCH($D165,Producer!$A:$A,0))="Intermediary Large HMO"),"Only available","No"),"")</f>
        <v/>
      </c>
      <c r="CL165" s="146" t="str">
        <f t="shared" si="75"/>
        <v/>
      </c>
      <c r="CM165" s="146" t="str">
        <f t="shared" si="76"/>
        <v/>
      </c>
      <c r="CN165" s="146" t="str">
        <f t="shared" si="77"/>
        <v/>
      </c>
      <c r="CO165" s="146" t="str">
        <f t="shared" si="78"/>
        <v/>
      </c>
      <c r="CP165" s="146" t="str">
        <f t="shared" si="79"/>
        <v/>
      </c>
      <c r="CQ165" s="146" t="str">
        <f t="shared" si="80"/>
        <v/>
      </c>
      <c r="CR165" s="146" t="str">
        <f t="shared" si="81"/>
        <v/>
      </c>
      <c r="CS165" s="146" t="str">
        <f t="shared" si="82"/>
        <v/>
      </c>
      <c r="CT165" s="146" t="str">
        <f t="shared" si="83"/>
        <v/>
      </c>
      <c r="CU165" s="146"/>
    </row>
    <row r="166" spans="1:99" ht="16.399999999999999" customHeight="1" x14ac:dyDescent="0.35">
      <c r="A166" s="145" t="str">
        <f t="shared" si="56"/>
        <v/>
      </c>
      <c r="B166" s="145" t="str">
        <f>_xlfn.IFNA(_xlfn.CONCAT(INDEX(Producer!$P:$P,MATCH($D166,Producer!$A:$A,0))," ",IF(INDEX(Producer!$N:$N,MATCH($D166,Producer!$A:$A,0))="Yes","Green ",""),IF(AND(INDEX(Producer!$L:$L,MATCH($D166,Producer!$A:$A,0))="No",INDEX(Producer!$C:$C,MATCH($D166,Producer!$A:$A,0))="Fixed"),"Flexit ",""),INDEX(Producer!$B:$B,MATCH($D166,Producer!$A:$A,0))," Year ",INDEX(Producer!$C:$C,MATCH($D166,Producer!$A:$A,0))," ",VALUE(INDEX(Producer!$E:$E,MATCH($D166,Producer!$A:$A,0)))*100,"% LTV",IF(INDEX(Producer!$N:$N,MATCH($D166,Producer!$A:$A,0))="Yes"," (EPC A-C)","")," - ",IF(INDEX(Producer!$D:$D,MATCH($D166,Producer!$A:$A,0))="DLY","Daily","Annual")),"")</f>
        <v/>
      </c>
      <c r="C166" s="146" t="str">
        <f>_xlfn.IFNA(INDEX(Producer!$Q:$Q,MATCH($D166,Producer!$A:$A,0)),"")</f>
        <v/>
      </c>
      <c r="D166" s="146" t="str">
        <f>IFERROR(VALUE(MID(Producer!$R$2,IF($D165="",1/0,FIND(_xlfn.CONCAT($D164,$D165),Producer!$R$2)+10),5)),"")</f>
        <v/>
      </c>
      <c r="E166" s="146" t="str">
        <f t="shared" si="57"/>
        <v/>
      </c>
      <c r="F166" s="146"/>
      <c r="G166" s="147" t="str">
        <f>_xlfn.IFNA(VALUE(INDEX(Producer!$F:$F,MATCH($D166,Producer!$A:$A,0)))*100,"")</f>
        <v/>
      </c>
      <c r="H166" s="216" t="str">
        <f>_xlfn.IFNA(IFERROR(DATEVALUE(INDEX(Producer!$M:$M,MATCH($D166,Producer!$A:$A,0))),(INDEX(Producer!$M:$M,MATCH($D166,Producer!$A:$A,0)))),"")</f>
        <v/>
      </c>
      <c r="I166" s="217" t="str">
        <f>_xlfn.IFNA(VALUE(INDEX(Producer!$B:$B,MATCH($D166,Producer!$A:$A,0)))*12,"")</f>
        <v/>
      </c>
      <c r="J166" s="146" t="str">
        <f>_xlfn.IFNA(IF(C166="Residential",IF(VALUE(INDEX(Producer!$B:$B,MATCH($D166,Producer!$A:$A,0)))&lt;5,Constants!$C$10,""),IF(VALUE(INDEX(Producer!$B:$B,MATCH($D166,Producer!$A:$A,0)))&lt;5,Constants!$C$11,"")),"")</f>
        <v/>
      </c>
      <c r="K166" s="216" t="str">
        <f>_xlfn.IFNA(IF(($I166)&lt;60,DATE(YEAR(H166)+(5-VALUE(INDEX(Producer!$B:$B,MATCH($D166,Producer!$A:$A,0)))),MONTH(H166),DAY(H166)),""),"")</f>
        <v/>
      </c>
      <c r="L166" s="153" t="str">
        <f t="shared" si="58"/>
        <v/>
      </c>
      <c r="M166" s="146"/>
      <c r="N166" s="148"/>
      <c r="O166" s="148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 t="str">
        <f>IF(D166="","",IF(C166="Residential",Constants!$B$10,Constants!$B$11))</f>
        <v/>
      </c>
      <c r="AL166" s="146" t="str">
        <f t="shared" si="59"/>
        <v/>
      </c>
      <c r="AM166" s="206" t="str">
        <f t="shared" si="60"/>
        <v/>
      </c>
      <c r="AN166" s="146" t="str">
        <f t="shared" si="61"/>
        <v/>
      </c>
      <c r="AO166" s="149" t="str">
        <f t="shared" si="62"/>
        <v/>
      </c>
      <c r="AP166" s="150" t="str">
        <f t="shared" si="63"/>
        <v/>
      </c>
      <c r="AQ166" s="146" t="str">
        <f>IFERROR(_xlfn.IFNA(IF($BA166="No",0,IF(INDEX(Constants!B:B,MATCH(($I166/12),Constants!$A:$A,0))=0,0,INDEX(Constants!B:B,MATCH(($I166/12),Constants!$A:$A,0)))),0),"")</f>
        <v/>
      </c>
      <c r="AR166" s="146" t="str">
        <f>IFERROR(_xlfn.IFNA(IF($BA166="No",0,IF(INDEX(Constants!C:C,MATCH(($I166/12),Constants!$A:$A,0))=0,0,INDEX(Constants!C:C,MATCH(($I166/12),Constants!$A:$A,0)))),0),"")</f>
        <v/>
      </c>
      <c r="AS166" s="146" t="str">
        <f>IFERROR(_xlfn.IFNA(IF($BA166="No",0,IF(INDEX(Constants!D:D,MATCH(($I166/12),Constants!$A:$A,0))=0,0,INDEX(Constants!D:D,MATCH(($I166/12),Constants!$A:$A,0)))),0),"")</f>
        <v/>
      </c>
      <c r="AT166" s="146" t="str">
        <f>IFERROR(_xlfn.IFNA(IF($BA166="No",0,IF(INDEX(Constants!E:E,MATCH(($I166/12),Constants!$A:$A,0))=0,0,INDEX(Constants!E:E,MATCH(($I166/12),Constants!$A:$A,0)))),0),"")</f>
        <v/>
      </c>
      <c r="AU166" s="146" t="str">
        <f>IFERROR(_xlfn.IFNA(IF($BA166="No",0,IF(INDEX(Constants!F:F,MATCH(($I166/12),Constants!$A:$A,0))=0,0,INDEX(Constants!F:F,MATCH(($I166/12),Constants!$A:$A,0)))),0),"")</f>
        <v/>
      </c>
      <c r="AV166" s="146" t="str">
        <f>IFERROR(_xlfn.IFNA(IF($BA166="No",0,IF(INDEX(Constants!G:G,MATCH(($I166/12),Constants!$A:$A,0))=0,0,INDEX(Constants!G:G,MATCH(($I166/12),Constants!$A:$A,0)))),0),"")</f>
        <v/>
      </c>
      <c r="AW166" s="146" t="str">
        <f>IFERROR(_xlfn.IFNA(IF($BA166="No",0,IF(INDEX(Constants!H:H,MATCH(($I166/12),Constants!$A:$A,0))=0,0,INDEX(Constants!H:H,MATCH(($I166/12),Constants!$A:$A,0)))),0),"")</f>
        <v/>
      </c>
      <c r="AX166" s="146" t="str">
        <f>IFERROR(_xlfn.IFNA(IF($BA166="No",0,IF(INDEX(Constants!I:I,MATCH(($I166/12),Constants!$A:$A,0))=0,0,INDEX(Constants!I:I,MATCH(($I166/12),Constants!$A:$A,0)))),0),"")</f>
        <v/>
      </c>
      <c r="AY166" s="146" t="str">
        <f>IFERROR(_xlfn.IFNA(IF($BA166="No",0,IF(INDEX(Constants!J:J,MATCH(($I166/12),Constants!$A:$A,0))=0,0,INDEX(Constants!J:J,MATCH(($I166/12),Constants!$A:$A,0)))),0),"")</f>
        <v/>
      </c>
      <c r="AZ166" s="146" t="str">
        <f>IFERROR(_xlfn.IFNA(IF($BA166="No",0,IF(INDEX(Constants!K:K,MATCH(($I166/12),Constants!$A:$A,0))=0,0,INDEX(Constants!K:K,MATCH(($I166/12),Constants!$A:$A,0)))),0),"")</f>
        <v/>
      </c>
      <c r="BA166" s="147" t="str">
        <f>_xlfn.IFNA(INDEX(Producer!$L:$L,MATCH($D166,Producer!$A:$A,0)),"")</f>
        <v/>
      </c>
      <c r="BB166" s="146" t="str">
        <f>IFERROR(IF(AQ166=0,"",IF(($I166/12)=15,_xlfn.CONCAT(Constants!$N$7,TEXT(DATE(YEAR(H166)-(($I166/12)-3),MONTH(H166),DAY(H166)),"dd/mm/yyyy"),", ",Constants!$P$7,TEXT(DATE(YEAR(H166)-(($I166/12)-8),MONTH(H166),DAY(H166)),"dd/mm/yyyy"),", ",Constants!$T$7,TEXT(DATE(YEAR(H166)-(($I166/12)-11),MONTH(H166),DAY(H166)),"dd/mm/yyyy"),", ",Constants!$V$7,TEXT(DATE(YEAR(H166)-(($I166/12)-13),MONTH(H166),DAY(H166)),"dd/mm/yyyy"),", ",Constants!$W$7,TEXT($H166,"dd/mm/yyyy")),IF(($I166/12)=10,_xlfn.CONCAT(Constants!$N$6,TEXT(DATE(YEAR(H166)-(($I166/12)-2),MONTH(H166),DAY(H166)),"dd/mm/yyyy"),", ",Constants!$P$6,TEXT(DATE(YEAR(H166)-(($I166/12)-6),MONTH(H166),DAY(H166)),"dd/mm/yyyy"),", ",Constants!$T$6,TEXT(DATE(YEAR(H166)-(($I166/12)-8),MONTH(H166),DAY(H166)),"dd/mm/yyyy"),", ",Constants!$V$6,TEXT(DATE(YEAR(H166)-(($I166/12)-9),MONTH(H166),DAY(H166)),"dd/mm/yyyy"),", ",Constants!$W$6,TEXT($H166,"dd/mm/yyyy")),IF(($I166/12)=5,_xlfn.CONCAT(Constants!$N$5,TEXT(DATE(YEAR(H166)-(($I166/12)-1),MONTH(H166),DAY(H166)),"dd/mm/yyyy"),", ",Constants!$O$5,TEXT(DATE(YEAR(H166)-(($I166/12)-2),MONTH(H166),DAY(H166)),"dd/mm/yyyy"),", ",Constants!$P$5,TEXT(DATE(YEAR(H166)-(($I166/12)-3),MONTH(H166),DAY(H166)),"dd/mm/yyyy"),", ",Constants!$Q$5,TEXT(DATE(YEAR(H166)-(($I166/12)-4),MONTH(H166),DAY(H166)),"dd/mm/yyyy"),", ",Constants!$R$5,TEXT($H166,"dd/mm/yyyy")),IF(($I166/12)=3,_xlfn.CONCAT(Constants!$N$4,TEXT(DATE(YEAR(H166)-(($I166/12)-1),MONTH(H166),DAY(H166)),"dd/mm/yyyy"),", ",Constants!$O$4,TEXT(DATE(YEAR(H166)-(($I166/12)-2),MONTH(H166),DAY(H166)),"dd/mm/yyyy"),", ",Constants!$P$4,TEXT($H166,"dd/mm/yyyy")),IF(($I166/12)=2,_xlfn.CONCAT(Constants!$N$3,TEXT(DATE(YEAR(H166)-(($I166/12)-1),MONTH(H166),DAY(H166)),"dd/mm/yyyy"),", ",Constants!$O$3,TEXT($H166,"dd/mm/yyyy")),IF(($I166/12)=1,_xlfn.CONCAT(Constants!$N$2,TEXT($H166,"dd/mm/yyyy")),"Update Constants"))))))),"")</f>
        <v/>
      </c>
      <c r="BC166" s="147" t="str">
        <f>_xlfn.IFNA(VALUE(INDEX(Producer!$K:$K,MATCH($D166,Producer!$A:$A,0))),"")</f>
        <v/>
      </c>
      <c r="BD166" s="147" t="str">
        <f>_xlfn.IFNA(INDEX(Producer!$I:$I,MATCH($D166,Producer!$A:$A,0)),"")</f>
        <v/>
      </c>
      <c r="BE166" s="147" t="str">
        <f t="shared" si="64"/>
        <v/>
      </c>
      <c r="BF166" s="147"/>
      <c r="BG166" s="147"/>
      <c r="BH166" s="151" t="str">
        <f>_xlfn.IFNA(INDEX(Constants!$B:$B,MATCH(BC166,Constants!A:A,0)),"")</f>
        <v/>
      </c>
      <c r="BI166" s="147" t="str">
        <f>IF(LEFT(B166,15)="Limited Company",Constants!$D$16,IFERROR(_xlfn.IFNA(IF(C166="Residential",IF(BK166&lt;75,INDEX(Constants!$B:$B,MATCH(VALUE(60)/100,Constants!$A:$A,0)),INDEX(Constants!$B:$B,MATCH(VALUE(BK166)/100,Constants!$A:$A,0))),IF(BK166&lt;60,INDEX(Constants!$C:$C,MATCH(VALUE(60)/100,Constants!$A:$A,0)),INDEX(Constants!$C:$C,MATCH(VALUE(BK166)/100,Constants!$A:$A,0)))),""),""))</f>
        <v/>
      </c>
      <c r="BJ166" s="147" t="str">
        <f t="shared" si="65"/>
        <v/>
      </c>
      <c r="BK166" s="147" t="str">
        <f>_xlfn.IFNA(VALUE(INDEX(Producer!$E:$E,MATCH($D166,Producer!$A:$A,0)))*100,"")</f>
        <v/>
      </c>
      <c r="BL166" s="146" t="str">
        <f>_xlfn.IFNA(IF(IFERROR(FIND("Part &amp; Part",B166),-10)&gt;0,"PP",IF(OR(LEFT(B166,25)="Residential Interest Only",INDEX(Producer!$P:$P,MATCH($D166,Producer!$A:$A,0))="IO",INDEX(Producer!$P:$P,MATCH($D166,Producer!$A:$A,0))="Retirement Interest Only"),"IO",IF($C166="BuyToLet","CI, IO","CI"))),"")</f>
        <v/>
      </c>
      <c r="BM166" s="152" t="str">
        <f>_xlfn.IFNA(IF(BL166="IO",100%,IF(AND(INDEX(Producer!$P:$P,MATCH($D166,Producer!$A:$A,0))="Residential Interest Only Part &amp; Part",BK166=75),80%,IF(C166="BuyToLet",100%,IF(BL166="Interest Only",100%,IF(AND(INDEX(Producer!$P:$P,MATCH($D166,Producer!$A:$A,0))="Residential Interest Only Part &amp; Part",BK166=60),100%,""))))),"")</f>
        <v/>
      </c>
      <c r="BN166" s="218" t="str">
        <f>_xlfn.IFNA(IF(VALUE(INDEX(Producer!$H:$H,MATCH($D166,Producer!$A:$A,0)))=0,"",VALUE(INDEX(Producer!$H:$H,MATCH($D166,Producer!$A:$A,0)))),"")</f>
        <v/>
      </c>
      <c r="BO166" s="153"/>
      <c r="BP166" s="153"/>
      <c r="BQ166" s="219" t="str">
        <f t="shared" si="66"/>
        <v/>
      </c>
      <c r="BR166" s="146"/>
      <c r="BS166" s="146"/>
      <c r="BT166" s="146"/>
      <c r="BU166" s="146"/>
      <c r="BV166" s="219" t="str">
        <f t="shared" si="67"/>
        <v/>
      </c>
      <c r="BW166" s="146"/>
      <c r="BX166" s="146"/>
      <c r="BY166" s="146" t="str">
        <f t="shared" si="68"/>
        <v/>
      </c>
      <c r="BZ166" s="146" t="str">
        <f t="shared" si="69"/>
        <v/>
      </c>
      <c r="CA166" s="146" t="str">
        <f t="shared" si="70"/>
        <v/>
      </c>
      <c r="CB166" s="146" t="str">
        <f t="shared" si="71"/>
        <v/>
      </c>
      <c r="CC166" s="146" t="str">
        <f>_xlfn.IFNA(IF(INDEX(Producer!$P:$P,MATCH($D166,Producer!$A:$A,0))="Help to Buy","Only available","No"),"")</f>
        <v/>
      </c>
      <c r="CD166" s="146" t="str">
        <f>_xlfn.IFNA(IF(INDEX(Producer!$P:$P,MATCH($D166,Producer!$A:$A,0))="Shared Ownership","Only available","No"),"")</f>
        <v/>
      </c>
      <c r="CE166" s="146" t="str">
        <f>_xlfn.IFNA(IF(INDEX(Producer!$P:$P,MATCH($D166,Producer!$A:$A,0))="Right to Buy","Only available","No"),"")</f>
        <v/>
      </c>
      <c r="CF166" s="146" t="str">
        <f t="shared" si="72"/>
        <v/>
      </c>
      <c r="CG166" s="146" t="str">
        <f>_xlfn.IFNA(IF(INDEX(Producer!$P:$P,MATCH($D166,Producer!$A:$A,0))="Retirement Interest Only","Only available","No"),"")</f>
        <v/>
      </c>
      <c r="CH166" s="146" t="str">
        <f t="shared" si="73"/>
        <v/>
      </c>
      <c r="CI166" s="146" t="str">
        <f>_xlfn.IFNA(IF(INDEX(Producer!$P:$P,MATCH($D166,Producer!$A:$A,0))="Intermediary Holiday Let","Only available","No"),"")</f>
        <v/>
      </c>
      <c r="CJ166" s="146" t="str">
        <f t="shared" si="74"/>
        <v/>
      </c>
      <c r="CK166" s="146" t="str">
        <f>_xlfn.IFNA(IF(OR(INDEX(Producer!$P:$P,MATCH($D166,Producer!$A:$A,0))="Intermediary Small HMO",INDEX(Producer!$P:$P,MATCH($D166,Producer!$A:$A,0))="Intermediary Large HMO"),"Only available","No"),"")</f>
        <v/>
      </c>
      <c r="CL166" s="146" t="str">
        <f t="shared" si="75"/>
        <v/>
      </c>
      <c r="CM166" s="146" t="str">
        <f t="shared" si="76"/>
        <v/>
      </c>
      <c r="CN166" s="146" t="str">
        <f t="shared" si="77"/>
        <v/>
      </c>
      <c r="CO166" s="146" t="str">
        <f t="shared" si="78"/>
        <v/>
      </c>
      <c r="CP166" s="146" t="str">
        <f t="shared" si="79"/>
        <v/>
      </c>
      <c r="CQ166" s="146" t="str">
        <f t="shared" si="80"/>
        <v/>
      </c>
      <c r="CR166" s="146" t="str">
        <f t="shared" si="81"/>
        <v/>
      </c>
      <c r="CS166" s="146" t="str">
        <f t="shared" si="82"/>
        <v/>
      </c>
      <c r="CT166" s="146" t="str">
        <f t="shared" si="83"/>
        <v/>
      </c>
      <c r="CU166" s="146"/>
    </row>
    <row r="167" spans="1:99" ht="16.399999999999999" customHeight="1" x14ac:dyDescent="0.35">
      <c r="A167" s="145" t="str">
        <f t="shared" si="56"/>
        <v/>
      </c>
      <c r="B167" s="145" t="str">
        <f>_xlfn.IFNA(_xlfn.CONCAT(INDEX(Producer!$P:$P,MATCH($D167,Producer!$A:$A,0))," ",IF(INDEX(Producer!$N:$N,MATCH($D167,Producer!$A:$A,0))="Yes","Green ",""),IF(AND(INDEX(Producer!$L:$L,MATCH($D167,Producer!$A:$A,0))="No",INDEX(Producer!$C:$C,MATCH($D167,Producer!$A:$A,0))="Fixed"),"Flexit ",""),INDEX(Producer!$B:$B,MATCH($D167,Producer!$A:$A,0))," Year ",INDEX(Producer!$C:$C,MATCH($D167,Producer!$A:$A,0))," ",VALUE(INDEX(Producer!$E:$E,MATCH($D167,Producer!$A:$A,0)))*100,"% LTV",IF(INDEX(Producer!$N:$N,MATCH($D167,Producer!$A:$A,0))="Yes"," (EPC A-C)","")," - ",IF(INDEX(Producer!$D:$D,MATCH($D167,Producer!$A:$A,0))="DLY","Daily","Annual")),"")</f>
        <v/>
      </c>
      <c r="C167" s="146" t="str">
        <f>_xlfn.IFNA(INDEX(Producer!$Q:$Q,MATCH($D167,Producer!$A:$A,0)),"")</f>
        <v/>
      </c>
      <c r="D167" s="146" t="str">
        <f>IFERROR(VALUE(MID(Producer!$R$2,IF($D166="",1/0,FIND(_xlfn.CONCAT($D165,$D166),Producer!$R$2)+10),5)),"")</f>
        <v/>
      </c>
      <c r="E167" s="146" t="str">
        <f t="shared" si="57"/>
        <v/>
      </c>
      <c r="F167" s="146"/>
      <c r="G167" s="147" t="str">
        <f>_xlfn.IFNA(VALUE(INDEX(Producer!$F:$F,MATCH($D167,Producer!$A:$A,0)))*100,"")</f>
        <v/>
      </c>
      <c r="H167" s="216" t="str">
        <f>_xlfn.IFNA(IFERROR(DATEVALUE(INDEX(Producer!$M:$M,MATCH($D167,Producer!$A:$A,0))),(INDEX(Producer!$M:$M,MATCH($D167,Producer!$A:$A,0)))),"")</f>
        <v/>
      </c>
      <c r="I167" s="217" t="str">
        <f>_xlfn.IFNA(VALUE(INDEX(Producer!$B:$B,MATCH($D167,Producer!$A:$A,0)))*12,"")</f>
        <v/>
      </c>
      <c r="J167" s="146" t="str">
        <f>_xlfn.IFNA(IF(C167="Residential",IF(VALUE(INDEX(Producer!$B:$B,MATCH($D167,Producer!$A:$A,0)))&lt;5,Constants!$C$10,""),IF(VALUE(INDEX(Producer!$B:$B,MATCH($D167,Producer!$A:$A,0)))&lt;5,Constants!$C$11,"")),"")</f>
        <v/>
      </c>
      <c r="K167" s="216" t="str">
        <f>_xlfn.IFNA(IF(($I167)&lt;60,DATE(YEAR(H167)+(5-VALUE(INDEX(Producer!$B:$B,MATCH($D167,Producer!$A:$A,0)))),MONTH(H167),DAY(H167)),""),"")</f>
        <v/>
      </c>
      <c r="L167" s="153" t="str">
        <f t="shared" si="58"/>
        <v/>
      </c>
      <c r="M167" s="146"/>
      <c r="N167" s="148"/>
      <c r="O167" s="148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 t="str">
        <f>IF(D167="","",IF(C167="Residential",Constants!$B$10,Constants!$B$11))</f>
        <v/>
      </c>
      <c r="AL167" s="146" t="str">
        <f t="shared" si="59"/>
        <v/>
      </c>
      <c r="AM167" s="206" t="str">
        <f t="shared" si="60"/>
        <v/>
      </c>
      <c r="AN167" s="146" t="str">
        <f t="shared" si="61"/>
        <v/>
      </c>
      <c r="AO167" s="149" t="str">
        <f t="shared" si="62"/>
        <v/>
      </c>
      <c r="AP167" s="150" t="str">
        <f t="shared" si="63"/>
        <v/>
      </c>
      <c r="AQ167" s="146" t="str">
        <f>IFERROR(_xlfn.IFNA(IF($BA167="No",0,IF(INDEX(Constants!B:B,MATCH(($I167/12),Constants!$A:$A,0))=0,0,INDEX(Constants!B:B,MATCH(($I167/12),Constants!$A:$A,0)))),0),"")</f>
        <v/>
      </c>
      <c r="AR167" s="146" t="str">
        <f>IFERROR(_xlfn.IFNA(IF($BA167="No",0,IF(INDEX(Constants!C:C,MATCH(($I167/12),Constants!$A:$A,0))=0,0,INDEX(Constants!C:C,MATCH(($I167/12),Constants!$A:$A,0)))),0),"")</f>
        <v/>
      </c>
      <c r="AS167" s="146" t="str">
        <f>IFERROR(_xlfn.IFNA(IF($BA167="No",0,IF(INDEX(Constants!D:D,MATCH(($I167/12),Constants!$A:$A,0))=0,0,INDEX(Constants!D:D,MATCH(($I167/12),Constants!$A:$A,0)))),0),"")</f>
        <v/>
      </c>
      <c r="AT167" s="146" t="str">
        <f>IFERROR(_xlfn.IFNA(IF($BA167="No",0,IF(INDEX(Constants!E:E,MATCH(($I167/12),Constants!$A:$A,0))=0,0,INDEX(Constants!E:E,MATCH(($I167/12),Constants!$A:$A,0)))),0),"")</f>
        <v/>
      </c>
      <c r="AU167" s="146" t="str">
        <f>IFERROR(_xlfn.IFNA(IF($BA167="No",0,IF(INDEX(Constants!F:F,MATCH(($I167/12),Constants!$A:$A,0))=0,0,INDEX(Constants!F:F,MATCH(($I167/12),Constants!$A:$A,0)))),0),"")</f>
        <v/>
      </c>
      <c r="AV167" s="146" t="str">
        <f>IFERROR(_xlfn.IFNA(IF($BA167="No",0,IF(INDEX(Constants!G:G,MATCH(($I167/12),Constants!$A:$A,0))=0,0,INDEX(Constants!G:G,MATCH(($I167/12),Constants!$A:$A,0)))),0),"")</f>
        <v/>
      </c>
      <c r="AW167" s="146" t="str">
        <f>IFERROR(_xlfn.IFNA(IF($BA167="No",0,IF(INDEX(Constants!H:H,MATCH(($I167/12),Constants!$A:$A,0))=0,0,INDEX(Constants!H:H,MATCH(($I167/12),Constants!$A:$A,0)))),0),"")</f>
        <v/>
      </c>
      <c r="AX167" s="146" t="str">
        <f>IFERROR(_xlfn.IFNA(IF($BA167="No",0,IF(INDEX(Constants!I:I,MATCH(($I167/12),Constants!$A:$A,0))=0,0,INDEX(Constants!I:I,MATCH(($I167/12),Constants!$A:$A,0)))),0),"")</f>
        <v/>
      </c>
      <c r="AY167" s="146" t="str">
        <f>IFERROR(_xlfn.IFNA(IF($BA167="No",0,IF(INDEX(Constants!J:J,MATCH(($I167/12),Constants!$A:$A,0))=0,0,INDEX(Constants!J:J,MATCH(($I167/12),Constants!$A:$A,0)))),0),"")</f>
        <v/>
      </c>
      <c r="AZ167" s="146" t="str">
        <f>IFERROR(_xlfn.IFNA(IF($BA167="No",0,IF(INDEX(Constants!K:K,MATCH(($I167/12),Constants!$A:$A,0))=0,0,INDEX(Constants!K:K,MATCH(($I167/12),Constants!$A:$A,0)))),0),"")</f>
        <v/>
      </c>
      <c r="BA167" s="147" t="str">
        <f>_xlfn.IFNA(INDEX(Producer!$L:$L,MATCH($D167,Producer!$A:$A,0)),"")</f>
        <v/>
      </c>
      <c r="BB167" s="146" t="str">
        <f>IFERROR(IF(AQ167=0,"",IF(($I167/12)=15,_xlfn.CONCAT(Constants!$N$7,TEXT(DATE(YEAR(H167)-(($I167/12)-3),MONTH(H167),DAY(H167)),"dd/mm/yyyy"),", ",Constants!$P$7,TEXT(DATE(YEAR(H167)-(($I167/12)-8),MONTH(H167),DAY(H167)),"dd/mm/yyyy"),", ",Constants!$T$7,TEXT(DATE(YEAR(H167)-(($I167/12)-11),MONTH(H167),DAY(H167)),"dd/mm/yyyy"),", ",Constants!$V$7,TEXT(DATE(YEAR(H167)-(($I167/12)-13),MONTH(H167),DAY(H167)),"dd/mm/yyyy"),", ",Constants!$W$7,TEXT($H167,"dd/mm/yyyy")),IF(($I167/12)=10,_xlfn.CONCAT(Constants!$N$6,TEXT(DATE(YEAR(H167)-(($I167/12)-2),MONTH(H167),DAY(H167)),"dd/mm/yyyy"),", ",Constants!$P$6,TEXT(DATE(YEAR(H167)-(($I167/12)-6),MONTH(H167),DAY(H167)),"dd/mm/yyyy"),", ",Constants!$T$6,TEXT(DATE(YEAR(H167)-(($I167/12)-8),MONTH(H167),DAY(H167)),"dd/mm/yyyy"),", ",Constants!$V$6,TEXT(DATE(YEAR(H167)-(($I167/12)-9),MONTH(H167),DAY(H167)),"dd/mm/yyyy"),", ",Constants!$W$6,TEXT($H167,"dd/mm/yyyy")),IF(($I167/12)=5,_xlfn.CONCAT(Constants!$N$5,TEXT(DATE(YEAR(H167)-(($I167/12)-1),MONTH(H167),DAY(H167)),"dd/mm/yyyy"),", ",Constants!$O$5,TEXT(DATE(YEAR(H167)-(($I167/12)-2),MONTH(H167),DAY(H167)),"dd/mm/yyyy"),", ",Constants!$P$5,TEXT(DATE(YEAR(H167)-(($I167/12)-3),MONTH(H167),DAY(H167)),"dd/mm/yyyy"),", ",Constants!$Q$5,TEXT(DATE(YEAR(H167)-(($I167/12)-4),MONTH(H167),DAY(H167)),"dd/mm/yyyy"),", ",Constants!$R$5,TEXT($H167,"dd/mm/yyyy")),IF(($I167/12)=3,_xlfn.CONCAT(Constants!$N$4,TEXT(DATE(YEAR(H167)-(($I167/12)-1),MONTH(H167),DAY(H167)),"dd/mm/yyyy"),", ",Constants!$O$4,TEXT(DATE(YEAR(H167)-(($I167/12)-2),MONTH(H167),DAY(H167)),"dd/mm/yyyy"),", ",Constants!$P$4,TEXT($H167,"dd/mm/yyyy")),IF(($I167/12)=2,_xlfn.CONCAT(Constants!$N$3,TEXT(DATE(YEAR(H167)-(($I167/12)-1),MONTH(H167),DAY(H167)),"dd/mm/yyyy"),", ",Constants!$O$3,TEXT($H167,"dd/mm/yyyy")),IF(($I167/12)=1,_xlfn.CONCAT(Constants!$N$2,TEXT($H167,"dd/mm/yyyy")),"Update Constants"))))))),"")</f>
        <v/>
      </c>
      <c r="BC167" s="147" t="str">
        <f>_xlfn.IFNA(VALUE(INDEX(Producer!$K:$K,MATCH($D167,Producer!$A:$A,0))),"")</f>
        <v/>
      </c>
      <c r="BD167" s="147" t="str">
        <f>_xlfn.IFNA(INDEX(Producer!$I:$I,MATCH($D167,Producer!$A:$A,0)),"")</f>
        <v/>
      </c>
      <c r="BE167" s="147" t="str">
        <f t="shared" si="64"/>
        <v/>
      </c>
      <c r="BF167" s="147"/>
      <c r="BG167" s="147"/>
      <c r="BH167" s="151" t="str">
        <f>_xlfn.IFNA(INDEX(Constants!$B:$B,MATCH(BC167,Constants!A:A,0)),"")</f>
        <v/>
      </c>
      <c r="BI167" s="147" t="str">
        <f>IF(LEFT(B167,15)="Limited Company",Constants!$D$16,IFERROR(_xlfn.IFNA(IF(C167="Residential",IF(BK167&lt;75,INDEX(Constants!$B:$B,MATCH(VALUE(60)/100,Constants!$A:$A,0)),INDEX(Constants!$B:$B,MATCH(VALUE(BK167)/100,Constants!$A:$A,0))),IF(BK167&lt;60,INDEX(Constants!$C:$C,MATCH(VALUE(60)/100,Constants!$A:$A,0)),INDEX(Constants!$C:$C,MATCH(VALUE(BK167)/100,Constants!$A:$A,0)))),""),""))</f>
        <v/>
      </c>
      <c r="BJ167" s="147" t="str">
        <f t="shared" si="65"/>
        <v/>
      </c>
      <c r="BK167" s="147" t="str">
        <f>_xlfn.IFNA(VALUE(INDEX(Producer!$E:$E,MATCH($D167,Producer!$A:$A,0)))*100,"")</f>
        <v/>
      </c>
      <c r="BL167" s="146" t="str">
        <f>_xlfn.IFNA(IF(IFERROR(FIND("Part &amp; Part",B167),-10)&gt;0,"PP",IF(OR(LEFT(B167,25)="Residential Interest Only",INDEX(Producer!$P:$P,MATCH($D167,Producer!$A:$A,0))="IO",INDEX(Producer!$P:$P,MATCH($D167,Producer!$A:$A,0))="Retirement Interest Only"),"IO",IF($C167="BuyToLet","CI, IO","CI"))),"")</f>
        <v/>
      </c>
      <c r="BM167" s="152" t="str">
        <f>_xlfn.IFNA(IF(BL167="IO",100%,IF(AND(INDEX(Producer!$P:$P,MATCH($D167,Producer!$A:$A,0))="Residential Interest Only Part &amp; Part",BK167=75),80%,IF(C167="BuyToLet",100%,IF(BL167="Interest Only",100%,IF(AND(INDEX(Producer!$P:$P,MATCH($D167,Producer!$A:$A,0))="Residential Interest Only Part &amp; Part",BK167=60),100%,""))))),"")</f>
        <v/>
      </c>
      <c r="BN167" s="218" t="str">
        <f>_xlfn.IFNA(IF(VALUE(INDEX(Producer!$H:$H,MATCH($D167,Producer!$A:$A,0)))=0,"",VALUE(INDEX(Producer!$H:$H,MATCH($D167,Producer!$A:$A,0)))),"")</f>
        <v/>
      </c>
      <c r="BO167" s="153"/>
      <c r="BP167" s="153"/>
      <c r="BQ167" s="219" t="str">
        <f t="shared" si="66"/>
        <v/>
      </c>
      <c r="BR167" s="146"/>
      <c r="BS167" s="146"/>
      <c r="BT167" s="146"/>
      <c r="BU167" s="146"/>
      <c r="BV167" s="219" t="str">
        <f t="shared" si="67"/>
        <v/>
      </c>
      <c r="BW167" s="146"/>
      <c r="BX167" s="146"/>
      <c r="BY167" s="146" t="str">
        <f t="shared" si="68"/>
        <v/>
      </c>
      <c r="BZ167" s="146" t="str">
        <f t="shared" si="69"/>
        <v/>
      </c>
      <c r="CA167" s="146" t="str">
        <f t="shared" si="70"/>
        <v/>
      </c>
      <c r="CB167" s="146" t="str">
        <f t="shared" si="71"/>
        <v/>
      </c>
      <c r="CC167" s="146" t="str">
        <f>_xlfn.IFNA(IF(INDEX(Producer!$P:$P,MATCH($D167,Producer!$A:$A,0))="Help to Buy","Only available","No"),"")</f>
        <v/>
      </c>
      <c r="CD167" s="146" t="str">
        <f>_xlfn.IFNA(IF(INDEX(Producer!$P:$P,MATCH($D167,Producer!$A:$A,0))="Shared Ownership","Only available","No"),"")</f>
        <v/>
      </c>
      <c r="CE167" s="146" t="str">
        <f>_xlfn.IFNA(IF(INDEX(Producer!$P:$P,MATCH($D167,Producer!$A:$A,0))="Right to Buy","Only available","No"),"")</f>
        <v/>
      </c>
      <c r="CF167" s="146" t="str">
        <f t="shared" si="72"/>
        <v/>
      </c>
      <c r="CG167" s="146" t="str">
        <f>_xlfn.IFNA(IF(INDEX(Producer!$P:$P,MATCH($D167,Producer!$A:$A,0))="Retirement Interest Only","Only available","No"),"")</f>
        <v/>
      </c>
      <c r="CH167" s="146" t="str">
        <f t="shared" si="73"/>
        <v/>
      </c>
      <c r="CI167" s="146" t="str">
        <f>_xlfn.IFNA(IF(INDEX(Producer!$P:$P,MATCH($D167,Producer!$A:$A,0))="Intermediary Holiday Let","Only available","No"),"")</f>
        <v/>
      </c>
      <c r="CJ167" s="146" t="str">
        <f t="shared" si="74"/>
        <v/>
      </c>
      <c r="CK167" s="146" t="str">
        <f>_xlfn.IFNA(IF(OR(INDEX(Producer!$P:$P,MATCH($D167,Producer!$A:$A,0))="Intermediary Small HMO",INDEX(Producer!$P:$P,MATCH($D167,Producer!$A:$A,0))="Intermediary Large HMO"),"Only available","No"),"")</f>
        <v/>
      </c>
      <c r="CL167" s="146" t="str">
        <f t="shared" si="75"/>
        <v/>
      </c>
      <c r="CM167" s="146" t="str">
        <f t="shared" si="76"/>
        <v/>
      </c>
      <c r="CN167" s="146" t="str">
        <f t="shared" si="77"/>
        <v/>
      </c>
      <c r="CO167" s="146" t="str">
        <f t="shared" si="78"/>
        <v/>
      </c>
      <c r="CP167" s="146" t="str">
        <f t="shared" si="79"/>
        <v/>
      </c>
      <c r="CQ167" s="146" t="str">
        <f t="shared" si="80"/>
        <v/>
      </c>
      <c r="CR167" s="146" t="str">
        <f t="shared" si="81"/>
        <v/>
      </c>
      <c r="CS167" s="146" t="str">
        <f t="shared" si="82"/>
        <v/>
      </c>
      <c r="CT167" s="146" t="str">
        <f t="shared" si="83"/>
        <v/>
      </c>
      <c r="CU167" s="146"/>
    </row>
    <row r="168" spans="1:99" ht="16.399999999999999" customHeight="1" x14ac:dyDescent="0.35">
      <c r="A168" s="145" t="str">
        <f t="shared" si="56"/>
        <v/>
      </c>
      <c r="B168" s="145" t="str">
        <f>_xlfn.IFNA(_xlfn.CONCAT(INDEX(Producer!$P:$P,MATCH($D168,Producer!$A:$A,0))," ",IF(INDEX(Producer!$N:$N,MATCH($D168,Producer!$A:$A,0))="Yes","Green ",""),IF(AND(INDEX(Producer!$L:$L,MATCH($D168,Producer!$A:$A,0))="No",INDEX(Producer!$C:$C,MATCH($D168,Producer!$A:$A,0))="Fixed"),"Flexit ",""),INDEX(Producer!$B:$B,MATCH($D168,Producer!$A:$A,0))," Year ",INDEX(Producer!$C:$C,MATCH($D168,Producer!$A:$A,0))," ",VALUE(INDEX(Producer!$E:$E,MATCH($D168,Producer!$A:$A,0)))*100,"% LTV",IF(INDEX(Producer!$N:$N,MATCH($D168,Producer!$A:$A,0))="Yes"," (EPC A-C)","")," - ",IF(INDEX(Producer!$D:$D,MATCH($D168,Producer!$A:$A,0))="DLY","Daily","Annual")),"")</f>
        <v/>
      </c>
      <c r="C168" s="146" t="str">
        <f>_xlfn.IFNA(INDEX(Producer!$Q:$Q,MATCH($D168,Producer!$A:$A,0)),"")</f>
        <v/>
      </c>
      <c r="D168" s="146" t="str">
        <f>IFERROR(VALUE(MID(Producer!$R$2,IF($D167="",1/0,FIND(_xlfn.CONCAT($D166,$D167),Producer!$R$2)+10),5)),"")</f>
        <v/>
      </c>
      <c r="E168" s="146" t="str">
        <f t="shared" si="57"/>
        <v/>
      </c>
      <c r="F168" s="146"/>
      <c r="G168" s="147" t="str">
        <f>_xlfn.IFNA(VALUE(INDEX(Producer!$F:$F,MATCH($D168,Producer!$A:$A,0)))*100,"")</f>
        <v/>
      </c>
      <c r="H168" s="216" t="str">
        <f>_xlfn.IFNA(IFERROR(DATEVALUE(INDEX(Producer!$M:$M,MATCH($D168,Producer!$A:$A,0))),(INDEX(Producer!$M:$M,MATCH($D168,Producer!$A:$A,0)))),"")</f>
        <v/>
      </c>
      <c r="I168" s="217" t="str">
        <f>_xlfn.IFNA(VALUE(INDEX(Producer!$B:$B,MATCH($D168,Producer!$A:$A,0)))*12,"")</f>
        <v/>
      </c>
      <c r="J168" s="146" t="str">
        <f>_xlfn.IFNA(IF(C168="Residential",IF(VALUE(INDEX(Producer!$B:$B,MATCH($D168,Producer!$A:$A,0)))&lt;5,Constants!$C$10,""),IF(VALUE(INDEX(Producer!$B:$B,MATCH($D168,Producer!$A:$A,0)))&lt;5,Constants!$C$11,"")),"")</f>
        <v/>
      </c>
      <c r="K168" s="216" t="str">
        <f>_xlfn.IFNA(IF(($I168)&lt;60,DATE(YEAR(H168)+(5-VALUE(INDEX(Producer!$B:$B,MATCH($D168,Producer!$A:$A,0)))),MONTH(H168),DAY(H168)),""),"")</f>
        <v/>
      </c>
      <c r="L168" s="153" t="str">
        <f t="shared" si="58"/>
        <v/>
      </c>
      <c r="M168" s="146"/>
      <c r="N168" s="148"/>
      <c r="O168" s="148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146"/>
      <c r="AK168" s="146" t="str">
        <f>IF(D168="","",IF(C168="Residential",Constants!$B$10,Constants!$B$11))</f>
        <v/>
      </c>
      <c r="AL168" s="146" t="str">
        <f t="shared" si="59"/>
        <v/>
      </c>
      <c r="AM168" s="206" t="str">
        <f t="shared" si="60"/>
        <v/>
      </c>
      <c r="AN168" s="146" t="str">
        <f t="shared" si="61"/>
        <v/>
      </c>
      <c r="AO168" s="149" t="str">
        <f t="shared" si="62"/>
        <v/>
      </c>
      <c r="AP168" s="150" t="str">
        <f t="shared" si="63"/>
        <v/>
      </c>
      <c r="AQ168" s="146" t="str">
        <f>IFERROR(_xlfn.IFNA(IF($BA168="No",0,IF(INDEX(Constants!B:B,MATCH(($I168/12),Constants!$A:$A,0))=0,0,INDEX(Constants!B:B,MATCH(($I168/12),Constants!$A:$A,0)))),0),"")</f>
        <v/>
      </c>
      <c r="AR168" s="146" t="str">
        <f>IFERROR(_xlfn.IFNA(IF($BA168="No",0,IF(INDEX(Constants!C:C,MATCH(($I168/12),Constants!$A:$A,0))=0,0,INDEX(Constants!C:C,MATCH(($I168/12),Constants!$A:$A,0)))),0),"")</f>
        <v/>
      </c>
      <c r="AS168" s="146" t="str">
        <f>IFERROR(_xlfn.IFNA(IF($BA168="No",0,IF(INDEX(Constants!D:D,MATCH(($I168/12),Constants!$A:$A,0))=0,0,INDEX(Constants!D:D,MATCH(($I168/12),Constants!$A:$A,0)))),0),"")</f>
        <v/>
      </c>
      <c r="AT168" s="146" t="str">
        <f>IFERROR(_xlfn.IFNA(IF($BA168="No",0,IF(INDEX(Constants!E:E,MATCH(($I168/12),Constants!$A:$A,0))=0,0,INDEX(Constants!E:E,MATCH(($I168/12),Constants!$A:$A,0)))),0),"")</f>
        <v/>
      </c>
      <c r="AU168" s="146" t="str">
        <f>IFERROR(_xlfn.IFNA(IF($BA168="No",0,IF(INDEX(Constants!F:F,MATCH(($I168/12),Constants!$A:$A,0))=0,0,INDEX(Constants!F:F,MATCH(($I168/12),Constants!$A:$A,0)))),0),"")</f>
        <v/>
      </c>
      <c r="AV168" s="146" t="str">
        <f>IFERROR(_xlfn.IFNA(IF($BA168="No",0,IF(INDEX(Constants!G:G,MATCH(($I168/12),Constants!$A:$A,0))=0,0,INDEX(Constants!G:G,MATCH(($I168/12),Constants!$A:$A,0)))),0),"")</f>
        <v/>
      </c>
      <c r="AW168" s="146" t="str">
        <f>IFERROR(_xlfn.IFNA(IF($BA168="No",0,IF(INDEX(Constants!H:H,MATCH(($I168/12),Constants!$A:$A,0))=0,0,INDEX(Constants!H:H,MATCH(($I168/12),Constants!$A:$A,0)))),0),"")</f>
        <v/>
      </c>
      <c r="AX168" s="146" t="str">
        <f>IFERROR(_xlfn.IFNA(IF($BA168="No",0,IF(INDEX(Constants!I:I,MATCH(($I168/12),Constants!$A:$A,0))=0,0,INDEX(Constants!I:I,MATCH(($I168/12),Constants!$A:$A,0)))),0),"")</f>
        <v/>
      </c>
      <c r="AY168" s="146" t="str">
        <f>IFERROR(_xlfn.IFNA(IF($BA168="No",0,IF(INDEX(Constants!J:J,MATCH(($I168/12),Constants!$A:$A,0))=0,0,INDEX(Constants!J:J,MATCH(($I168/12),Constants!$A:$A,0)))),0),"")</f>
        <v/>
      </c>
      <c r="AZ168" s="146" t="str">
        <f>IFERROR(_xlfn.IFNA(IF($BA168="No",0,IF(INDEX(Constants!K:K,MATCH(($I168/12),Constants!$A:$A,0))=0,0,INDEX(Constants!K:K,MATCH(($I168/12),Constants!$A:$A,0)))),0),"")</f>
        <v/>
      </c>
      <c r="BA168" s="147" t="str">
        <f>_xlfn.IFNA(INDEX(Producer!$L:$L,MATCH($D168,Producer!$A:$A,0)),"")</f>
        <v/>
      </c>
      <c r="BB168" s="146" t="str">
        <f>IFERROR(IF(AQ168=0,"",IF(($I168/12)=15,_xlfn.CONCAT(Constants!$N$7,TEXT(DATE(YEAR(H168)-(($I168/12)-3),MONTH(H168),DAY(H168)),"dd/mm/yyyy"),", ",Constants!$P$7,TEXT(DATE(YEAR(H168)-(($I168/12)-8),MONTH(H168),DAY(H168)),"dd/mm/yyyy"),", ",Constants!$T$7,TEXT(DATE(YEAR(H168)-(($I168/12)-11),MONTH(H168),DAY(H168)),"dd/mm/yyyy"),", ",Constants!$V$7,TEXT(DATE(YEAR(H168)-(($I168/12)-13),MONTH(H168),DAY(H168)),"dd/mm/yyyy"),", ",Constants!$W$7,TEXT($H168,"dd/mm/yyyy")),IF(($I168/12)=10,_xlfn.CONCAT(Constants!$N$6,TEXT(DATE(YEAR(H168)-(($I168/12)-2),MONTH(H168),DAY(H168)),"dd/mm/yyyy"),", ",Constants!$P$6,TEXT(DATE(YEAR(H168)-(($I168/12)-6),MONTH(H168),DAY(H168)),"dd/mm/yyyy"),", ",Constants!$T$6,TEXT(DATE(YEAR(H168)-(($I168/12)-8),MONTH(H168),DAY(H168)),"dd/mm/yyyy"),", ",Constants!$V$6,TEXT(DATE(YEAR(H168)-(($I168/12)-9),MONTH(H168),DAY(H168)),"dd/mm/yyyy"),", ",Constants!$W$6,TEXT($H168,"dd/mm/yyyy")),IF(($I168/12)=5,_xlfn.CONCAT(Constants!$N$5,TEXT(DATE(YEAR(H168)-(($I168/12)-1),MONTH(H168),DAY(H168)),"dd/mm/yyyy"),", ",Constants!$O$5,TEXT(DATE(YEAR(H168)-(($I168/12)-2),MONTH(H168),DAY(H168)),"dd/mm/yyyy"),", ",Constants!$P$5,TEXT(DATE(YEAR(H168)-(($I168/12)-3),MONTH(H168),DAY(H168)),"dd/mm/yyyy"),", ",Constants!$Q$5,TEXT(DATE(YEAR(H168)-(($I168/12)-4),MONTH(H168),DAY(H168)),"dd/mm/yyyy"),", ",Constants!$R$5,TEXT($H168,"dd/mm/yyyy")),IF(($I168/12)=3,_xlfn.CONCAT(Constants!$N$4,TEXT(DATE(YEAR(H168)-(($I168/12)-1),MONTH(H168),DAY(H168)),"dd/mm/yyyy"),", ",Constants!$O$4,TEXT(DATE(YEAR(H168)-(($I168/12)-2),MONTH(H168),DAY(H168)),"dd/mm/yyyy"),", ",Constants!$P$4,TEXT($H168,"dd/mm/yyyy")),IF(($I168/12)=2,_xlfn.CONCAT(Constants!$N$3,TEXT(DATE(YEAR(H168)-(($I168/12)-1),MONTH(H168),DAY(H168)),"dd/mm/yyyy"),", ",Constants!$O$3,TEXT($H168,"dd/mm/yyyy")),IF(($I168/12)=1,_xlfn.CONCAT(Constants!$N$2,TEXT($H168,"dd/mm/yyyy")),"Update Constants"))))))),"")</f>
        <v/>
      </c>
      <c r="BC168" s="147" t="str">
        <f>_xlfn.IFNA(VALUE(INDEX(Producer!$K:$K,MATCH($D168,Producer!$A:$A,0))),"")</f>
        <v/>
      </c>
      <c r="BD168" s="147" t="str">
        <f>_xlfn.IFNA(INDEX(Producer!$I:$I,MATCH($D168,Producer!$A:$A,0)),"")</f>
        <v/>
      </c>
      <c r="BE168" s="147" t="str">
        <f t="shared" si="64"/>
        <v/>
      </c>
      <c r="BF168" s="147"/>
      <c r="BG168" s="147"/>
      <c r="BH168" s="151" t="str">
        <f>_xlfn.IFNA(INDEX(Constants!$B:$B,MATCH(BC168,Constants!A:A,0)),"")</f>
        <v/>
      </c>
      <c r="BI168" s="147" t="str">
        <f>IF(LEFT(B168,15)="Limited Company",Constants!$D$16,IFERROR(_xlfn.IFNA(IF(C168="Residential",IF(BK168&lt;75,INDEX(Constants!$B:$B,MATCH(VALUE(60)/100,Constants!$A:$A,0)),INDEX(Constants!$B:$B,MATCH(VALUE(BK168)/100,Constants!$A:$A,0))),IF(BK168&lt;60,INDEX(Constants!$C:$C,MATCH(VALUE(60)/100,Constants!$A:$A,0)),INDEX(Constants!$C:$C,MATCH(VALUE(BK168)/100,Constants!$A:$A,0)))),""),""))</f>
        <v/>
      </c>
      <c r="BJ168" s="147" t="str">
        <f t="shared" si="65"/>
        <v/>
      </c>
      <c r="BK168" s="147" t="str">
        <f>_xlfn.IFNA(VALUE(INDEX(Producer!$E:$E,MATCH($D168,Producer!$A:$A,0)))*100,"")</f>
        <v/>
      </c>
      <c r="BL168" s="146" t="str">
        <f>_xlfn.IFNA(IF(IFERROR(FIND("Part &amp; Part",B168),-10)&gt;0,"PP",IF(OR(LEFT(B168,25)="Residential Interest Only",INDEX(Producer!$P:$P,MATCH($D168,Producer!$A:$A,0))="IO",INDEX(Producer!$P:$P,MATCH($D168,Producer!$A:$A,0))="Retirement Interest Only"),"IO",IF($C168="BuyToLet","CI, IO","CI"))),"")</f>
        <v/>
      </c>
      <c r="BM168" s="152" t="str">
        <f>_xlfn.IFNA(IF(BL168="IO",100%,IF(AND(INDEX(Producer!$P:$P,MATCH($D168,Producer!$A:$A,0))="Residential Interest Only Part &amp; Part",BK168=75),80%,IF(C168="BuyToLet",100%,IF(BL168="Interest Only",100%,IF(AND(INDEX(Producer!$P:$P,MATCH($D168,Producer!$A:$A,0))="Residential Interest Only Part &amp; Part",BK168=60),100%,""))))),"")</f>
        <v/>
      </c>
      <c r="BN168" s="218" t="str">
        <f>_xlfn.IFNA(IF(VALUE(INDEX(Producer!$H:$H,MATCH($D168,Producer!$A:$A,0)))=0,"",VALUE(INDEX(Producer!$H:$H,MATCH($D168,Producer!$A:$A,0)))),"")</f>
        <v/>
      </c>
      <c r="BO168" s="153"/>
      <c r="BP168" s="153"/>
      <c r="BQ168" s="219" t="str">
        <f t="shared" si="66"/>
        <v/>
      </c>
      <c r="BR168" s="146"/>
      <c r="BS168" s="146"/>
      <c r="BT168" s="146"/>
      <c r="BU168" s="146"/>
      <c r="BV168" s="219" t="str">
        <f t="shared" si="67"/>
        <v/>
      </c>
      <c r="BW168" s="146"/>
      <c r="BX168" s="146"/>
      <c r="BY168" s="146" t="str">
        <f t="shared" si="68"/>
        <v/>
      </c>
      <c r="BZ168" s="146" t="str">
        <f t="shared" si="69"/>
        <v/>
      </c>
      <c r="CA168" s="146" t="str">
        <f t="shared" si="70"/>
        <v/>
      </c>
      <c r="CB168" s="146" t="str">
        <f t="shared" si="71"/>
        <v/>
      </c>
      <c r="CC168" s="146" t="str">
        <f>_xlfn.IFNA(IF(INDEX(Producer!$P:$P,MATCH($D168,Producer!$A:$A,0))="Help to Buy","Only available","No"),"")</f>
        <v/>
      </c>
      <c r="CD168" s="146" t="str">
        <f>_xlfn.IFNA(IF(INDEX(Producer!$P:$P,MATCH($D168,Producer!$A:$A,0))="Shared Ownership","Only available","No"),"")</f>
        <v/>
      </c>
      <c r="CE168" s="146" t="str">
        <f>_xlfn.IFNA(IF(INDEX(Producer!$P:$P,MATCH($D168,Producer!$A:$A,0))="Right to Buy","Only available","No"),"")</f>
        <v/>
      </c>
      <c r="CF168" s="146" t="str">
        <f t="shared" si="72"/>
        <v/>
      </c>
      <c r="CG168" s="146" t="str">
        <f>_xlfn.IFNA(IF(INDEX(Producer!$P:$P,MATCH($D168,Producer!$A:$A,0))="Retirement Interest Only","Only available","No"),"")</f>
        <v/>
      </c>
      <c r="CH168" s="146" t="str">
        <f t="shared" si="73"/>
        <v/>
      </c>
      <c r="CI168" s="146" t="str">
        <f>_xlfn.IFNA(IF(INDEX(Producer!$P:$P,MATCH($D168,Producer!$A:$A,0))="Intermediary Holiday Let","Only available","No"),"")</f>
        <v/>
      </c>
      <c r="CJ168" s="146" t="str">
        <f t="shared" si="74"/>
        <v/>
      </c>
      <c r="CK168" s="146" t="str">
        <f>_xlfn.IFNA(IF(OR(INDEX(Producer!$P:$P,MATCH($D168,Producer!$A:$A,0))="Intermediary Small HMO",INDEX(Producer!$P:$P,MATCH($D168,Producer!$A:$A,0))="Intermediary Large HMO"),"Only available","No"),"")</f>
        <v/>
      </c>
      <c r="CL168" s="146" t="str">
        <f t="shared" si="75"/>
        <v/>
      </c>
      <c r="CM168" s="146" t="str">
        <f t="shared" si="76"/>
        <v/>
      </c>
      <c r="CN168" s="146" t="str">
        <f t="shared" si="77"/>
        <v/>
      </c>
      <c r="CO168" s="146" t="str">
        <f t="shared" si="78"/>
        <v/>
      </c>
      <c r="CP168" s="146" t="str">
        <f t="shared" si="79"/>
        <v/>
      </c>
      <c r="CQ168" s="146" t="str">
        <f t="shared" si="80"/>
        <v/>
      </c>
      <c r="CR168" s="146" t="str">
        <f t="shared" si="81"/>
        <v/>
      </c>
      <c r="CS168" s="146" t="str">
        <f t="shared" si="82"/>
        <v/>
      </c>
      <c r="CT168" s="146" t="str">
        <f t="shared" si="83"/>
        <v/>
      </c>
      <c r="CU168" s="146"/>
    </row>
    <row r="169" spans="1:99" ht="16.399999999999999" customHeight="1" x14ac:dyDescent="0.35">
      <c r="A169" s="145" t="str">
        <f t="shared" si="56"/>
        <v/>
      </c>
      <c r="B169" s="145" t="str">
        <f>_xlfn.IFNA(_xlfn.CONCAT(INDEX(Producer!$P:$P,MATCH($D169,Producer!$A:$A,0))," ",IF(INDEX(Producer!$N:$N,MATCH($D169,Producer!$A:$A,0))="Yes","Green ",""),IF(AND(INDEX(Producer!$L:$L,MATCH($D169,Producer!$A:$A,0))="No",INDEX(Producer!$C:$C,MATCH($D169,Producer!$A:$A,0))="Fixed"),"Flexit ",""),INDEX(Producer!$B:$B,MATCH($D169,Producer!$A:$A,0))," Year ",INDEX(Producer!$C:$C,MATCH($D169,Producer!$A:$A,0))," ",VALUE(INDEX(Producer!$E:$E,MATCH($D169,Producer!$A:$A,0)))*100,"% LTV",IF(INDEX(Producer!$N:$N,MATCH($D169,Producer!$A:$A,0))="Yes"," (EPC A-C)","")," - ",IF(INDEX(Producer!$D:$D,MATCH($D169,Producer!$A:$A,0))="DLY","Daily","Annual")),"")</f>
        <v/>
      </c>
      <c r="C169" s="146" t="str">
        <f>_xlfn.IFNA(INDEX(Producer!$Q:$Q,MATCH($D169,Producer!$A:$A,0)),"")</f>
        <v/>
      </c>
      <c r="D169" s="146" t="str">
        <f>IFERROR(VALUE(MID(Producer!$R$2,IF($D168="",1/0,FIND(_xlfn.CONCAT($D167,$D168),Producer!$R$2)+10),5)),"")</f>
        <v/>
      </c>
      <c r="E169" s="146" t="str">
        <f t="shared" si="57"/>
        <v/>
      </c>
      <c r="F169" s="146"/>
      <c r="G169" s="147" t="str">
        <f>_xlfn.IFNA(VALUE(INDEX(Producer!$F:$F,MATCH($D169,Producer!$A:$A,0)))*100,"")</f>
        <v/>
      </c>
      <c r="H169" s="216" t="str">
        <f>_xlfn.IFNA(IFERROR(DATEVALUE(INDEX(Producer!$M:$M,MATCH($D169,Producer!$A:$A,0))),(INDEX(Producer!$M:$M,MATCH($D169,Producer!$A:$A,0)))),"")</f>
        <v/>
      </c>
      <c r="I169" s="217" t="str">
        <f>_xlfn.IFNA(VALUE(INDEX(Producer!$B:$B,MATCH($D169,Producer!$A:$A,0)))*12,"")</f>
        <v/>
      </c>
      <c r="J169" s="146" t="str">
        <f>_xlfn.IFNA(IF(C169="Residential",IF(VALUE(INDEX(Producer!$B:$B,MATCH($D169,Producer!$A:$A,0)))&lt;5,Constants!$C$10,""),IF(VALUE(INDEX(Producer!$B:$B,MATCH($D169,Producer!$A:$A,0)))&lt;5,Constants!$C$11,"")),"")</f>
        <v/>
      </c>
      <c r="K169" s="216" t="str">
        <f>_xlfn.IFNA(IF(($I169)&lt;60,DATE(YEAR(H169)+(5-VALUE(INDEX(Producer!$B:$B,MATCH($D169,Producer!$A:$A,0)))),MONTH(H169),DAY(H169)),""),"")</f>
        <v/>
      </c>
      <c r="L169" s="153" t="str">
        <f t="shared" si="58"/>
        <v/>
      </c>
      <c r="M169" s="146"/>
      <c r="N169" s="148"/>
      <c r="O169" s="148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6"/>
      <c r="AK169" s="146" t="str">
        <f>IF(D169="","",IF(C169="Residential",Constants!$B$10,Constants!$B$11))</f>
        <v/>
      </c>
      <c r="AL169" s="146" t="str">
        <f t="shared" si="59"/>
        <v/>
      </c>
      <c r="AM169" s="206" t="str">
        <f t="shared" si="60"/>
        <v/>
      </c>
      <c r="AN169" s="146" t="str">
        <f t="shared" si="61"/>
        <v/>
      </c>
      <c r="AO169" s="149" t="str">
        <f t="shared" si="62"/>
        <v/>
      </c>
      <c r="AP169" s="150" t="str">
        <f t="shared" si="63"/>
        <v/>
      </c>
      <c r="AQ169" s="146" t="str">
        <f>IFERROR(_xlfn.IFNA(IF($BA169="No",0,IF(INDEX(Constants!B:B,MATCH(($I169/12),Constants!$A:$A,0))=0,0,INDEX(Constants!B:B,MATCH(($I169/12),Constants!$A:$A,0)))),0),"")</f>
        <v/>
      </c>
      <c r="AR169" s="146" t="str">
        <f>IFERROR(_xlfn.IFNA(IF($BA169="No",0,IF(INDEX(Constants!C:C,MATCH(($I169/12),Constants!$A:$A,0))=0,0,INDEX(Constants!C:C,MATCH(($I169/12),Constants!$A:$A,0)))),0),"")</f>
        <v/>
      </c>
      <c r="AS169" s="146" t="str">
        <f>IFERROR(_xlfn.IFNA(IF($BA169="No",0,IF(INDEX(Constants!D:D,MATCH(($I169/12),Constants!$A:$A,0))=0,0,INDEX(Constants!D:D,MATCH(($I169/12),Constants!$A:$A,0)))),0),"")</f>
        <v/>
      </c>
      <c r="AT169" s="146" t="str">
        <f>IFERROR(_xlfn.IFNA(IF($BA169="No",0,IF(INDEX(Constants!E:E,MATCH(($I169/12),Constants!$A:$A,0))=0,0,INDEX(Constants!E:E,MATCH(($I169/12),Constants!$A:$A,0)))),0),"")</f>
        <v/>
      </c>
      <c r="AU169" s="146" t="str">
        <f>IFERROR(_xlfn.IFNA(IF($BA169="No",0,IF(INDEX(Constants!F:F,MATCH(($I169/12),Constants!$A:$A,0))=0,0,INDEX(Constants!F:F,MATCH(($I169/12),Constants!$A:$A,0)))),0),"")</f>
        <v/>
      </c>
      <c r="AV169" s="146" t="str">
        <f>IFERROR(_xlfn.IFNA(IF($BA169="No",0,IF(INDEX(Constants!G:G,MATCH(($I169/12),Constants!$A:$A,0))=0,0,INDEX(Constants!G:G,MATCH(($I169/12),Constants!$A:$A,0)))),0),"")</f>
        <v/>
      </c>
      <c r="AW169" s="146" t="str">
        <f>IFERROR(_xlfn.IFNA(IF($BA169="No",0,IF(INDEX(Constants!H:H,MATCH(($I169/12),Constants!$A:$A,0))=0,0,INDEX(Constants!H:H,MATCH(($I169/12),Constants!$A:$A,0)))),0),"")</f>
        <v/>
      </c>
      <c r="AX169" s="146" t="str">
        <f>IFERROR(_xlfn.IFNA(IF($BA169="No",0,IF(INDEX(Constants!I:I,MATCH(($I169/12),Constants!$A:$A,0))=0,0,INDEX(Constants!I:I,MATCH(($I169/12),Constants!$A:$A,0)))),0),"")</f>
        <v/>
      </c>
      <c r="AY169" s="146" t="str">
        <f>IFERROR(_xlfn.IFNA(IF($BA169="No",0,IF(INDEX(Constants!J:J,MATCH(($I169/12),Constants!$A:$A,0))=0,0,INDEX(Constants!J:J,MATCH(($I169/12),Constants!$A:$A,0)))),0),"")</f>
        <v/>
      </c>
      <c r="AZ169" s="146" t="str">
        <f>IFERROR(_xlfn.IFNA(IF($BA169="No",0,IF(INDEX(Constants!K:K,MATCH(($I169/12),Constants!$A:$A,0))=0,0,INDEX(Constants!K:K,MATCH(($I169/12),Constants!$A:$A,0)))),0),"")</f>
        <v/>
      </c>
      <c r="BA169" s="147" t="str">
        <f>_xlfn.IFNA(INDEX(Producer!$L:$L,MATCH($D169,Producer!$A:$A,0)),"")</f>
        <v/>
      </c>
      <c r="BB169" s="146" t="str">
        <f>IFERROR(IF(AQ169=0,"",IF(($I169/12)=15,_xlfn.CONCAT(Constants!$N$7,TEXT(DATE(YEAR(H169)-(($I169/12)-3),MONTH(H169),DAY(H169)),"dd/mm/yyyy"),", ",Constants!$P$7,TEXT(DATE(YEAR(H169)-(($I169/12)-8),MONTH(H169),DAY(H169)),"dd/mm/yyyy"),", ",Constants!$T$7,TEXT(DATE(YEAR(H169)-(($I169/12)-11),MONTH(H169),DAY(H169)),"dd/mm/yyyy"),", ",Constants!$V$7,TEXT(DATE(YEAR(H169)-(($I169/12)-13),MONTH(H169),DAY(H169)),"dd/mm/yyyy"),", ",Constants!$W$7,TEXT($H169,"dd/mm/yyyy")),IF(($I169/12)=10,_xlfn.CONCAT(Constants!$N$6,TEXT(DATE(YEAR(H169)-(($I169/12)-2),MONTH(H169),DAY(H169)),"dd/mm/yyyy"),", ",Constants!$P$6,TEXT(DATE(YEAR(H169)-(($I169/12)-6),MONTH(H169),DAY(H169)),"dd/mm/yyyy"),", ",Constants!$T$6,TEXT(DATE(YEAR(H169)-(($I169/12)-8),MONTH(H169),DAY(H169)),"dd/mm/yyyy"),", ",Constants!$V$6,TEXT(DATE(YEAR(H169)-(($I169/12)-9),MONTH(H169),DAY(H169)),"dd/mm/yyyy"),", ",Constants!$W$6,TEXT($H169,"dd/mm/yyyy")),IF(($I169/12)=5,_xlfn.CONCAT(Constants!$N$5,TEXT(DATE(YEAR(H169)-(($I169/12)-1),MONTH(H169),DAY(H169)),"dd/mm/yyyy"),", ",Constants!$O$5,TEXT(DATE(YEAR(H169)-(($I169/12)-2),MONTH(H169),DAY(H169)),"dd/mm/yyyy"),", ",Constants!$P$5,TEXT(DATE(YEAR(H169)-(($I169/12)-3),MONTH(H169),DAY(H169)),"dd/mm/yyyy"),", ",Constants!$Q$5,TEXT(DATE(YEAR(H169)-(($I169/12)-4),MONTH(H169),DAY(H169)),"dd/mm/yyyy"),", ",Constants!$R$5,TEXT($H169,"dd/mm/yyyy")),IF(($I169/12)=3,_xlfn.CONCAT(Constants!$N$4,TEXT(DATE(YEAR(H169)-(($I169/12)-1),MONTH(H169),DAY(H169)),"dd/mm/yyyy"),", ",Constants!$O$4,TEXT(DATE(YEAR(H169)-(($I169/12)-2),MONTH(H169),DAY(H169)),"dd/mm/yyyy"),", ",Constants!$P$4,TEXT($H169,"dd/mm/yyyy")),IF(($I169/12)=2,_xlfn.CONCAT(Constants!$N$3,TEXT(DATE(YEAR(H169)-(($I169/12)-1),MONTH(H169),DAY(H169)),"dd/mm/yyyy"),", ",Constants!$O$3,TEXT($H169,"dd/mm/yyyy")),IF(($I169/12)=1,_xlfn.CONCAT(Constants!$N$2,TEXT($H169,"dd/mm/yyyy")),"Update Constants"))))))),"")</f>
        <v/>
      </c>
      <c r="BC169" s="147" t="str">
        <f>_xlfn.IFNA(VALUE(INDEX(Producer!$K:$K,MATCH($D169,Producer!$A:$A,0))),"")</f>
        <v/>
      </c>
      <c r="BD169" s="147" t="str">
        <f>_xlfn.IFNA(INDEX(Producer!$I:$I,MATCH($D169,Producer!$A:$A,0)),"")</f>
        <v/>
      </c>
      <c r="BE169" s="147" t="str">
        <f t="shared" si="64"/>
        <v/>
      </c>
      <c r="BF169" s="147"/>
      <c r="BG169" s="147"/>
      <c r="BH169" s="151" t="str">
        <f>_xlfn.IFNA(INDEX(Constants!$B:$B,MATCH(BC169,Constants!A:A,0)),"")</f>
        <v/>
      </c>
      <c r="BI169" s="147" t="str">
        <f>IF(LEFT(B169,15)="Limited Company",Constants!$D$16,IFERROR(_xlfn.IFNA(IF(C169="Residential",IF(BK169&lt;75,INDEX(Constants!$B:$B,MATCH(VALUE(60)/100,Constants!$A:$A,0)),INDEX(Constants!$B:$B,MATCH(VALUE(BK169)/100,Constants!$A:$A,0))),IF(BK169&lt;60,INDEX(Constants!$C:$C,MATCH(VALUE(60)/100,Constants!$A:$A,0)),INDEX(Constants!$C:$C,MATCH(VALUE(BK169)/100,Constants!$A:$A,0)))),""),""))</f>
        <v/>
      </c>
      <c r="BJ169" s="147" t="str">
        <f t="shared" si="65"/>
        <v/>
      </c>
      <c r="BK169" s="147" t="str">
        <f>_xlfn.IFNA(VALUE(INDEX(Producer!$E:$E,MATCH($D169,Producer!$A:$A,0)))*100,"")</f>
        <v/>
      </c>
      <c r="BL169" s="146" t="str">
        <f>_xlfn.IFNA(IF(IFERROR(FIND("Part &amp; Part",B169),-10)&gt;0,"PP",IF(OR(LEFT(B169,25)="Residential Interest Only",INDEX(Producer!$P:$P,MATCH($D169,Producer!$A:$A,0))="IO",INDEX(Producer!$P:$P,MATCH($D169,Producer!$A:$A,0))="Retirement Interest Only"),"IO",IF($C169="BuyToLet","CI, IO","CI"))),"")</f>
        <v/>
      </c>
      <c r="BM169" s="152" t="str">
        <f>_xlfn.IFNA(IF(BL169="IO",100%,IF(AND(INDEX(Producer!$P:$P,MATCH($D169,Producer!$A:$A,0))="Residential Interest Only Part &amp; Part",BK169=75),80%,IF(C169="BuyToLet",100%,IF(BL169="Interest Only",100%,IF(AND(INDEX(Producer!$P:$P,MATCH($D169,Producer!$A:$A,0))="Residential Interest Only Part &amp; Part",BK169=60),100%,""))))),"")</f>
        <v/>
      </c>
      <c r="BN169" s="218" t="str">
        <f>_xlfn.IFNA(IF(VALUE(INDEX(Producer!$H:$H,MATCH($D169,Producer!$A:$A,0)))=0,"",VALUE(INDEX(Producer!$H:$H,MATCH($D169,Producer!$A:$A,0)))),"")</f>
        <v/>
      </c>
      <c r="BO169" s="153"/>
      <c r="BP169" s="153"/>
      <c r="BQ169" s="219" t="str">
        <f t="shared" si="66"/>
        <v/>
      </c>
      <c r="BR169" s="146"/>
      <c r="BS169" s="146"/>
      <c r="BT169" s="146"/>
      <c r="BU169" s="146"/>
      <c r="BV169" s="219" t="str">
        <f t="shared" si="67"/>
        <v/>
      </c>
      <c r="BW169" s="146"/>
      <c r="BX169" s="146"/>
      <c r="BY169" s="146" t="str">
        <f t="shared" si="68"/>
        <v/>
      </c>
      <c r="BZ169" s="146" t="str">
        <f t="shared" si="69"/>
        <v/>
      </c>
      <c r="CA169" s="146" t="str">
        <f t="shared" si="70"/>
        <v/>
      </c>
      <c r="CB169" s="146" t="str">
        <f t="shared" si="71"/>
        <v/>
      </c>
      <c r="CC169" s="146" t="str">
        <f>_xlfn.IFNA(IF(INDEX(Producer!$P:$P,MATCH($D169,Producer!$A:$A,0))="Help to Buy","Only available","No"),"")</f>
        <v/>
      </c>
      <c r="CD169" s="146" t="str">
        <f>_xlfn.IFNA(IF(INDEX(Producer!$P:$P,MATCH($D169,Producer!$A:$A,0))="Shared Ownership","Only available","No"),"")</f>
        <v/>
      </c>
      <c r="CE169" s="146" t="str">
        <f>_xlfn.IFNA(IF(INDEX(Producer!$P:$P,MATCH($D169,Producer!$A:$A,0))="Right to Buy","Only available","No"),"")</f>
        <v/>
      </c>
      <c r="CF169" s="146" t="str">
        <f t="shared" si="72"/>
        <v/>
      </c>
      <c r="CG169" s="146" t="str">
        <f>_xlfn.IFNA(IF(INDEX(Producer!$P:$P,MATCH($D169,Producer!$A:$A,0))="Retirement Interest Only","Only available","No"),"")</f>
        <v/>
      </c>
      <c r="CH169" s="146" t="str">
        <f t="shared" si="73"/>
        <v/>
      </c>
      <c r="CI169" s="146" t="str">
        <f>_xlfn.IFNA(IF(INDEX(Producer!$P:$P,MATCH($D169,Producer!$A:$A,0))="Intermediary Holiday Let","Only available","No"),"")</f>
        <v/>
      </c>
      <c r="CJ169" s="146" t="str">
        <f t="shared" si="74"/>
        <v/>
      </c>
      <c r="CK169" s="146" t="str">
        <f>_xlfn.IFNA(IF(OR(INDEX(Producer!$P:$P,MATCH($D169,Producer!$A:$A,0))="Intermediary Small HMO",INDEX(Producer!$P:$P,MATCH($D169,Producer!$A:$A,0))="Intermediary Large HMO"),"Only available","No"),"")</f>
        <v/>
      </c>
      <c r="CL169" s="146" t="str">
        <f t="shared" si="75"/>
        <v/>
      </c>
      <c r="CM169" s="146" t="str">
        <f t="shared" si="76"/>
        <v/>
      </c>
      <c r="CN169" s="146" t="str">
        <f t="shared" si="77"/>
        <v/>
      </c>
      <c r="CO169" s="146" t="str">
        <f t="shared" si="78"/>
        <v/>
      </c>
      <c r="CP169" s="146" t="str">
        <f t="shared" si="79"/>
        <v/>
      </c>
      <c r="CQ169" s="146" t="str">
        <f t="shared" si="80"/>
        <v/>
      </c>
      <c r="CR169" s="146" t="str">
        <f t="shared" si="81"/>
        <v/>
      </c>
      <c r="CS169" s="146" t="str">
        <f t="shared" si="82"/>
        <v/>
      </c>
      <c r="CT169" s="146" t="str">
        <f t="shared" si="83"/>
        <v/>
      </c>
      <c r="CU169" s="146"/>
    </row>
    <row r="170" spans="1:99" ht="16.399999999999999" customHeight="1" x14ac:dyDescent="0.35">
      <c r="A170" s="145" t="str">
        <f t="shared" si="56"/>
        <v/>
      </c>
      <c r="B170" s="145" t="str">
        <f>_xlfn.IFNA(_xlfn.CONCAT(INDEX(Producer!$P:$P,MATCH($D170,Producer!$A:$A,0))," ",IF(INDEX(Producer!$N:$N,MATCH($D170,Producer!$A:$A,0))="Yes","Green ",""),IF(AND(INDEX(Producer!$L:$L,MATCH($D170,Producer!$A:$A,0))="No",INDEX(Producer!$C:$C,MATCH($D170,Producer!$A:$A,0))="Fixed"),"Flexit ",""),INDEX(Producer!$B:$B,MATCH($D170,Producer!$A:$A,0))," Year ",INDEX(Producer!$C:$C,MATCH($D170,Producer!$A:$A,0))," ",VALUE(INDEX(Producer!$E:$E,MATCH($D170,Producer!$A:$A,0)))*100,"% LTV",IF(INDEX(Producer!$N:$N,MATCH($D170,Producer!$A:$A,0))="Yes"," (EPC A-C)","")," - ",IF(INDEX(Producer!$D:$D,MATCH($D170,Producer!$A:$A,0))="DLY","Daily","Annual")),"")</f>
        <v/>
      </c>
      <c r="C170" s="146" t="str">
        <f>_xlfn.IFNA(INDEX(Producer!$Q:$Q,MATCH($D170,Producer!$A:$A,0)),"")</f>
        <v/>
      </c>
      <c r="D170" s="146" t="str">
        <f>IFERROR(VALUE(MID(Producer!$R$2,IF($D169="",1/0,FIND(_xlfn.CONCAT($D168,$D169),Producer!$R$2)+10),5)),"")</f>
        <v/>
      </c>
      <c r="E170" s="146" t="str">
        <f t="shared" si="57"/>
        <v/>
      </c>
      <c r="F170" s="146"/>
      <c r="G170" s="147" t="str">
        <f>_xlfn.IFNA(VALUE(INDEX(Producer!$F:$F,MATCH($D170,Producer!$A:$A,0)))*100,"")</f>
        <v/>
      </c>
      <c r="H170" s="216" t="str">
        <f>_xlfn.IFNA(IFERROR(DATEVALUE(INDEX(Producer!$M:$M,MATCH($D170,Producer!$A:$A,0))),(INDEX(Producer!$M:$M,MATCH($D170,Producer!$A:$A,0)))),"")</f>
        <v/>
      </c>
      <c r="I170" s="217" t="str">
        <f>_xlfn.IFNA(VALUE(INDEX(Producer!$B:$B,MATCH($D170,Producer!$A:$A,0)))*12,"")</f>
        <v/>
      </c>
      <c r="J170" s="146" t="str">
        <f>_xlfn.IFNA(IF(C170="Residential",IF(VALUE(INDEX(Producer!$B:$B,MATCH($D170,Producer!$A:$A,0)))&lt;5,Constants!$C$10,""),IF(VALUE(INDEX(Producer!$B:$B,MATCH($D170,Producer!$A:$A,0)))&lt;5,Constants!$C$11,"")),"")</f>
        <v/>
      </c>
      <c r="K170" s="216" t="str">
        <f>_xlfn.IFNA(IF(($I170)&lt;60,DATE(YEAR(H170)+(5-VALUE(INDEX(Producer!$B:$B,MATCH($D170,Producer!$A:$A,0)))),MONTH(H170),DAY(H170)),""),"")</f>
        <v/>
      </c>
      <c r="L170" s="153" t="str">
        <f t="shared" si="58"/>
        <v/>
      </c>
      <c r="M170" s="146"/>
      <c r="N170" s="148"/>
      <c r="O170" s="148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6"/>
      <c r="AJ170" s="146"/>
      <c r="AK170" s="146" t="str">
        <f>IF(D170="","",IF(C170="Residential",Constants!$B$10,Constants!$B$11))</f>
        <v/>
      </c>
      <c r="AL170" s="146" t="str">
        <f t="shared" si="59"/>
        <v/>
      </c>
      <c r="AM170" s="206" t="str">
        <f t="shared" si="60"/>
        <v/>
      </c>
      <c r="AN170" s="146" t="str">
        <f t="shared" si="61"/>
        <v/>
      </c>
      <c r="AO170" s="149" t="str">
        <f t="shared" si="62"/>
        <v/>
      </c>
      <c r="AP170" s="150" t="str">
        <f t="shared" si="63"/>
        <v/>
      </c>
      <c r="AQ170" s="146" t="str">
        <f>IFERROR(_xlfn.IFNA(IF($BA170="No",0,IF(INDEX(Constants!B:B,MATCH(($I170/12),Constants!$A:$A,0))=0,0,INDEX(Constants!B:B,MATCH(($I170/12),Constants!$A:$A,0)))),0),"")</f>
        <v/>
      </c>
      <c r="AR170" s="146" t="str">
        <f>IFERROR(_xlfn.IFNA(IF($BA170="No",0,IF(INDEX(Constants!C:C,MATCH(($I170/12),Constants!$A:$A,0))=0,0,INDEX(Constants!C:C,MATCH(($I170/12),Constants!$A:$A,0)))),0),"")</f>
        <v/>
      </c>
      <c r="AS170" s="146" t="str">
        <f>IFERROR(_xlfn.IFNA(IF($BA170="No",0,IF(INDEX(Constants!D:D,MATCH(($I170/12),Constants!$A:$A,0))=0,0,INDEX(Constants!D:D,MATCH(($I170/12),Constants!$A:$A,0)))),0),"")</f>
        <v/>
      </c>
      <c r="AT170" s="146" t="str">
        <f>IFERROR(_xlfn.IFNA(IF($BA170="No",0,IF(INDEX(Constants!E:E,MATCH(($I170/12),Constants!$A:$A,0))=0,0,INDEX(Constants!E:E,MATCH(($I170/12),Constants!$A:$A,0)))),0),"")</f>
        <v/>
      </c>
      <c r="AU170" s="146" t="str">
        <f>IFERROR(_xlfn.IFNA(IF($BA170="No",0,IF(INDEX(Constants!F:F,MATCH(($I170/12),Constants!$A:$A,0))=0,0,INDEX(Constants!F:F,MATCH(($I170/12),Constants!$A:$A,0)))),0),"")</f>
        <v/>
      </c>
      <c r="AV170" s="146" t="str">
        <f>IFERROR(_xlfn.IFNA(IF($BA170="No",0,IF(INDEX(Constants!G:G,MATCH(($I170/12),Constants!$A:$A,0))=0,0,INDEX(Constants!G:G,MATCH(($I170/12),Constants!$A:$A,0)))),0),"")</f>
        <v/>
      </c>
      <c r="AW170" s="146" t="str">
        <f>IFERROR(_xlfn.IFNA(IF($BA170="No",0,IF(INDEX(Constants!H:H,MATCH(($I170/12),Constants!$A:$A,0))=0,0,INDEX(Constants!H:H,MATCH(($I170/12),Constants!$A:$A,0)))),0),"")</f>
        <v/>
      </c>
      <c r="AX170" s="146" t="str">
        <f>IFERROR(_xlfn.IFNA(IF($BA170="No",0,IF(INDEX(Constants!I:I,MATCH(($I170/12),Constants!$A:$A,0))=0,0,INDEX(Constants!I:I,MATCH(($I170/12),Constants!$A:$A,0)))),0),"")</f>
        <v/>
      </c>
      <c r="AY170" s="146" t="str">
        <f>IFERROR(_xlfn.IFNA(IF($BA170="No",0,IF(INDEX(Constants!J:J,MATCH(($I170/12),Constants!$A:$A,0))=0,0,INDEX(Constants!J:J,MATCH(($I170/12),Constants!$A:$A,0)))),0),"")</f>
        <v/>
      </c>
      <c r="AZ170" s="146" t="str">
        <f>IFERROR(_xlfn.IFNA(IF($BA170="No",0,IF(INDEX(Constants!K:K,MATCH(($I170/12),Constants!$A:$A,0))=0,0,INDEX(Constants!K:K,MATCH(($I170/12),Constants!$A:$A,0)))),0),"")</f>
        <v/>
      </c>
      <c r="BA170" s="147" t="str">
        <f>_xlfn.IFNA(INDEX(Producer!$L:$L,MATCH($D170,Producer!$A:$A,0)),"")</f>
        <v/>
      </c>
      <c r="BB170" s="146" t="str">
        <f>IFERROR(IF(AQ170=0,"",IF(($I170/12)=15,_xlfn.CONCAT(Constants!$N$7,TEXT(DATE(YEAR(H170)-(($I170/12)-3),MONTH(H170),DAY(H170)),"dd/mm/yyyy"),", ",Constants!$P$7,TEXT(DATE(YEAR(H170)-(($I170/12)-8),MONTH(H170),DAY(H170)),"dd/mm/yyyy"),", ",Constants!$T$7,TEXT(DATE(YEAR(H170)-(($I170/12)-11),MONTH(H170),DAY(H170)),"dd/mm/yyyy"),", ",Constants!$V$7,TEXT(DATE(YEAR(H170)-(($I170/12)-13),MONTH(H170),DAY(H170)),"dd/mm/yyyy"),", ",Constants!$W$7,TEXT($H170,"dd/mm/yyyy")),IF(($I170/12)=10,_xlfn.CONCAT(Constants!$N$6,TEXT(DATE(YEAR(H170)-(($I170/12)-2),MONTH(H170),DAY(H170)),"dd/mm/yyyy"),", ",Constants!$P$6,TEXT(DATE(YEAR(H170)-(($I170/12)-6),MONTH(H170),DAY(H170)),"dd/mm/yyyy"),", ",Constants!$T$6,TEXT(DATE(YEAR(H170)-(($I170/12)-8),MONTH(H170),DAY(H170)),"dd/mm/yyyy"),", ",Constants!$V$6,TEXT(DATE(YEAR(H170)-(($I170/12)-9),MONTH(H170),DAY(H170)),"dd/mm/yyyy"),", ",Constants!$W$6,TEXT($H170,"dd/mm/yyyy")),IF(($I170/12)=5,_xlfn.CONCAT(Constants!$N$5,TEXT(DATE(YEAR(H170)-(($I170/12)-1),MONTH(H170),DAY(H170)),"dd/mm/yyyy"),", ",Constants!$O$5,TEXT(DATE(YEAR(H170)-(($I170/12)-2),MONTH(H170),DAY(H170)),"dd/mm/yyyy"),", ",Constants!$P$5,TEXT(DATE(YEAR(H170)-(($I170/12)-3),MONTH(H170),DAY(H170)),"dd/mm/yyyy"),", ",Constants!$Q$5,TEXT(DATE(YEAR(H170)-(($I170/12)-4),MONTH(H170),DAY(H170)),"dd/mm/yyyy"),", ",Constants!$R$5,TEXT($H170,"dd/mm/yyyy")),IF(($I170/12)=3,_xlfn.CONCAT(Constants!$N$4,TEXT(DATE(YEAR(H170)-(($I170/12)-1),MONTH(H170),DAY(H170)),"dd/mm/yyyy"),", ",Constants!$O$4,TEXT(DATE(YEAR(H170)-(($I170/12)-2),MONTH(H170),DAY(H170)),"dd/mm/yyyy"),", ",Constants!$P$4,TEXT($H170,"dd/mm/yyyy")),IF(($I170/12)=2,_xlfn.CONCAT(Constants!$N$3,TEXT(DATE(YEAR(H170)-(($I170/12)-1),MONTH(H170),DAY(H170)),"dd/mm/yyyy"),", ",Constants!$O$3,TEXT($H170,"dd/mm/yyyy")),IF(($I170/12)=1,_xlfn.CONCAT(Constants!$N$2,TEXT($H170,"dd/mm/yyyy")),"Update Constants"))))))),"")</f>
        <v/>
      </c>
      <c r="BC170" s="147" t="str">
        <f>_xlfn.IFNA(VALUE(INDEX(Producer!$K:$K,MATCH($D170,Producer!$A:$A,0))),"")</f>
        <v/>
      </c>
      <c r="BD170" s="147" t="str">
        <f>_xlfn.IFNA(INDEX(Producer!$I:$I,MATCH($D170,Producer!$A:$A,0)),"")</f>
        <v/>
      </c>
      <c r="BE170" s="147" t="str">
        <f t="shared" si="64"/>
        <v/>
      </c>
      <c r="BF170" s="147"/>
      <c r="BG170" s="147"/>
      <c r="BH170" s="151" t="str">
        <f>_xlfn.IFNA(INDEX(Constants!$B:$B,MATCH(BC170,Constants!A:A,0)),"")</f>
        <v/>
      </c>
      <c r="BI170" s="147" t="str">
        <f>IF(LEFT(B170,15)="Limited Company",Constants!$D$16,IFERROR(_xlfn.IFNA(IF(C170="Residential",IF(BK170&lt;75,INDEX(Constants!$B:$B,MATCH(VALUE(60)/100,Constants!$A:$A,0)),INDEX(Constants!$B:$B,MATCH(VALUE(BK170)/100,Constants!$A:$A,0))),IF(BK170&lt;60,INDEX(Constants!$C:$C,MATCH(VALUE(60)/100,Constants!$A:$A,0)),INDEX(Constants!$C:$C,MATCH(VALUE(BK170)/100,Constants!$A:$A,0)))),""),""))</f>
        <v/>
      </c>
      <c r="BJ170" s="147" t="str">
        <f t="shared" si="65"/>
        <v/>
      </c>
      <c r="BK170" s="147" t="str">
        <f>_xlfn.IFNA(VALUE(INDEX(Producer!$E:$E,MATCH($D170,Producer!$A:$A,0)))*100,"")</f>
        <v/>
      </c>
      <c r="BL170" s="146" t="str">
        <f>_xlfn.IFNA(IF(IFERROR(FIND("Part &amp; Part",B170),-10)&gt;0,"PP",IF(OR(LEFT(B170,25)="Residential Interest Only",INDEX(Producer!$P:$P,MATCH($D170,Producer!$A:$A,0))="IO",INDEX(Producer!$P:$P,MATCH($D170,Producer!$A:$A,0))="Retirement Interest Only"),"IO",IF($C170="BuyToLet","CI, IO","CI"))),"")</f>
        <v/>
      </c>
      <c r="BM170" s="152" t="str">
        <f>_xlfn.IFNA(IF(BL170="IO",100%,IF(AND(INDEX(Producer!$P:$P,MATCH($D170,Producer!$A:$A,0))="Residential Interest Only Part &amp; Part",BK170=75),80%,IF(C170="BuyToLet",100%,IF(BL170="Interest Only",100%,IF(AND(INDEX(Producer!$P:$P,MATCH($D170,Producer!$A:$A,0))="Residential Interest Only Part &amp; Part",BK170=60),100%,""))))),"")</f>
        <v/>
      </c>
      <c r="BN170" s="218" t="str">
        <f>_xlfn.IFNA(IF(VALUE(INDEX(Producer!$H:$H,MATCH($D170,Producer!$A:$A,0)))=0,"",VALUE(INDEX(Producer!$H:$H,MATCH($D170,Producer!$A:$A,0)))),"")</f>
        <v/>
      </c>
      <c r="BO170" s="153"/>
      <c r="BP170" s="153"/>
      <c r="BQ170" s="219" t="str">
        <f t="shared" si="66"/>
        <v/>
      </c>
      <c r="BR170" s="146"/>
      <c r="BS170" s="146"/>
      <c r="BT170" s="146"/>
      <c r="BU170" s="146"/>
      <c r="BV170" s="219" t="str">
        <f t="shared" si="67"/>
        <v/>
      </c>
      <c r="BW170" s="146"/>
      <c r="BX170" s="146"/>
      <c r="BY170" s="146" t="str">
        <f t="shared" si="68"/>
        <v/>
      </c>
      <c r="BZ170" s="146" t="str">
        <f t="shared" si="69"/>
        <v/>
      </c>
      <c r="CA170" s="146" t="str">
        <f t="shared" si="70"/>
        <v/>
      </c>
      <c r="CB170" s="146" t="str">
        <f t="shared" si="71"/>
        <v/>
      </c>
      <c r="CC170" s="146" t="str">
        <f>_xlfn.IFNA(IF(INDEX(Producer!$P:$P,MATCH($D170,Producer!$A:$A,0))="Help to Buy","Only available","No"),"")</f>
        <v/>
      </c>
      <c r="CD170" s="146" t="str">
        <f>_xlfn.IFNA(IF(INDEX(Producer!$P:$P,MATCH($D170,Producer!$A:$A,0))="Shared Ownership","Only available","No"),"")</f>
        <v/>
      </c>
      <c r="CE170" s="146" t="str">
        <f>_xlfn.IFNA(IF(INDEX(Producer!$P:$P,MATCH($D170,Producer!$A:$A,0))="Right to Buy","Only available","No"),"")</f>
        <v/>
      </c>
      <c r="CF170" s="146" t="str">
        <f t="shared" si="72"/>
        <v/>
      </c>
      <c r="CG170" s="146" t="str">
        <f>_xlfn.IFNA(IF(INDEX(Producer!$P:$P,MATCH($D170,Producer!$A:$A,0))="Retirement Interest Only","Only available","No"),"")</f>
        <v/>
      </c>
      <c r="CH170" s="146" t="str">
        <f t="shared" si="73"/>
        <v/>
      </c>
      <c r="CI170" s="146" t="str">
        <f>_xlfn.IFNA(IF(INDEX(Producer!$P:$P,MATCH($D170,Producer!$A:$A,0))="Intermediary Holiday Let","Only available","No"),"")</f>
        <v/>
      </c>
      <c r="CJ170" s="146" t="str">
        <f t="shared" si="74"/>
        <v/>
      </c>
      <c r="CK170" s="146" t="str">
        <f>_xlfn.IFNA(IF(OR(INDEX(Producer!$P:$P,MATCH($D170,Producer!$A:$A,0))="Intermediary Small HMO",INDEX(Producer!$P:$P,MATCH($D170,Producer!$A:$A,0))="Intermediary Large HMO"),"Only available","No"),"")</f>
        <v/>
      </c>
      <c r="CL170" s="146" t="str">
        <f t="shared" si="75"/>
        <v/>
      </c>
      <c r="CM170" s="146" t="str">
        <f t="shared" si="76"/>
        <v/>
      </c>
      <c r="CN170" s="146" t="str">
        <f t="shared" si="77"/>
        <v/>
      </c>
      <c r="CO170" s="146" t="str">
        <f t="shared" si="78"/>
        <v/>
      </c>
      <c r="CP170" s="146" t="str">
        <f t="shared" si="79"/>
        <v/>
      </c>
      <c r="CQ170" s="146" t="str">
        <f t="shared" si="80"/>
        <v/>
      </c>
      <c r="CR170" s="146" t="str">
        <f t="shared" si="81"/>
        <v/>
      </c>
      <c r="CS170" s="146" t="str">
        <f t="shared" si="82"/>
        <v/>
      </c>
      <c r="CT170" s="146" t="str">
        <f t="shared" si="83"/>
        <v/>
      </c>
      <c r="CU170" s="146"/>
    </row>
    <row r="171" spans="1:99" ht="16.399999999999999" customHeight="1" x14ac:dyDescent="0.35">
      <c r="A171" s="145" t="str">
        <f t="shared" si="56"/>
        <v/>
      </c>
      <c r="B171" s="145" t="str">
        <f>_xlfn.IFNA(_xlfn.CONCAT(INDEX(Producer!$P:$P,MATCH($D171,Producer!$A:$A,0))," ",IF(INDEX(Producer!$N:$N,MATCH($D171,Producer!$A:$A,0))="Yes","Green ",""),IF(AND(INDEX(Producer!$L:$L,MATCH($D171,Producer!$A:$A,0))="No",INDEX(Producer!$C:$C,MATCH($D171,Producer!$A:$A,0))="Fixed"),"Flexit ",""),INDEX(Producer!$B:$B,MATCH($D171,Producer!$A:$A,0))," Year ",INDEX(Producer!$C:$C,MATCH($D171,Producer!$A:$A,0))," ",VALUE(INDEX(Producer!$E:$E,MATCH($D171,Producer!$A:$A,0)))*100,"% LTV",IF(INDEX(Producer!$N:$N,MATCH($D171,Producer!$A:$A,0))="Yes"," (EPC A-C)","")," - ",IF(INDEX(Producer!$D:$D,MATCH($D171,Producer!$A:$A,0))="DLY","Daily","Annual")),"")</f>
        <v/>
      </c>
      <c r="C171" s="146" t="str">
        <f>_xlfn.IFNA(INDEX(Producer!$Q:$Q,MATCH($D171,Producer!$A:$A,0)),"")</f>
        <v/>
      </c>
      <c r="D171" s="146" t="str">
        <f>IFERROR(VALUE(MID(Producer!$R$2,IF($D170="",1/0,FIND(_xlfn.CONCAT($D169,$D170),Producer!$R$2)+10),5)),"")</f>
        <v/>
      </c>
      <c r="E171" s="146" t="str">
        <f t="shared" si="57"/>
        <v/>
      </c>
      <c r="F171" s="146"/>
      <c r="G171" s="147" t="str">
        <f>_xlfn.IFNA(VALUE(INDEX(Producer!$F:$F,MATCH($D171,Producer!$A:$A,0)))*100,"")</f>
        <v/>
      </c>
      <c r="H171" s="216" t="str">
        <f>_xlfn.IFNA(IFERROR(DATEVALUE(INDEX(Producer!$M:$M,MATCH($D171,Producer!$A:$A,0))),(INDEX(Producer!$M:$M,MATCH($D171,Producer!$A:$A,0)))),"")</f>
        <v/>
      </c>
      <c r="I171" s="217" t="str">
        <f>_xlfn.IFNA(VALUE(INDEX(Producer!$B:$B,MATCH($D171,Producer!$A:$A,0)))*12,"")</f>
        <v/>
      </c>
      <c r="J171" s="146" t="str">
        <f>_xlfn.IFNA(IF(C171="Residential",IF(VALUE(INDEX(Producer!$B:$B,MATCH($D171,Producer!$A:$A,0)))&lt;5,Constants!$C$10,""),IF(VALUE(INDEX(Producer!$B:$B,MATCH($D171,Producer!$A:$A,0)))&lt;5,Constants!$C$11,"")),"")</f>
        <v/>
      </c>
      <c r="K171" s="216" t="str">
        <f>_xlfn.IFNA(IF(($I171)&lt;60,DATE(YEAR(H171)+(5-VALUE(INDEX(Producer!$B:$B,MATCH($D171,Producer!$A:$A,0)))),MONTH(H171),DAY(H171)),""),"")</f>
        <v/>
      </c>
      <c r="L171" s="153" t="str">
        <f t="shared" si="58"/>
        <v/>
      </c>
      <c r="M171" s="146"/>
      <c r="N171" s="148"/>
      <c r="O171" s="148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 t="str">
        <f>IF(D171="","",IF(C171="Residential",Constants!$B$10,Constants!$B$11))</f>
        <v/>
      </c>
      <c r="AL171" s="146" t="str">
        <f t="shared" si="59"/>
        <v/>
      </c>
      <c r="AM171" s="206" t="str">
        <f t="shared" si="60"/>
        <v/>
      </c>
      <c r="AN171" s="146" t="str">
        <f t="shared" si="61"/>
        <v/>
      </c>
      <c r="AO171" s="149" t="str">
        <f t="shared" si="62"/>
        <v/>
      </c>
      <c r="AP171" s="150" t="str">
        <f t="shared" si="63"/>
        <v/>
      </c>
      <c r="AQ171" s="146" t="str">
        <f>IFERROR(_xlfn.IFNA(IF($BA171="No",0,IF(INDEX(Constants!B:B,MATCH(($I171/12),Constants!$A:$A,0))=0,0,INDEX(Constants!B:B,MATCH(($I171/12),Constants!$A:$A,0)))),0),"")</f>
        <v/>
      </c>
      <c r="AR171" s="146" t="str">
        <f>IFERROR(_xlfn.IFNA(IF($BA171="No",0,IF(INDEX(Constants!C:C,MATCH(($I171/12),Constants!$A:$A,0))=0,0,INDEX(Constants!C:C,MATCH(($I171/12),Constants!$A:$A,0)))),0),"")</f>
        <v/>
      </c>
      <c r="AS171" s="146" t="str">
        <f>IFERROR(_xlfn.IFNA(IF($BA171="No",0,IF(INDEX(Constants!D:D,MATCH(($I171/12),Constants!$A:$A,0))=0,0,INDEX(Constants!D:D,MATCH(($I171/12),Constants!$A:$A,0)))),0),"")</f>
        <v/>
      </c>
      <c r="AT171" s="146" t="str">
        <f>IFERROR(_xlfn.IFNA(IF($BA171="No",0,IF(INDEX(Constants!E:E,MATCH(($I171/12),Constants!$A:$A,0))=0,0,INDEX(Constants!E:E,MATCH(($I171/12),Constants!$A:$A,0)))),0),"")</f>
        <v/>
      </c>
      <c r="AU171" s="146" t="str">
        <f>IFERROR(_xlfn.IFNA(IF($BA171="No",0,IF(INDEX(Constants!F:F,MATCH(($I171/12),Constants!$A:$A,0))=0,0,INDEX(Constants!F:F,MATCH(($I171/12),Constants!$A:$A,0)))),0),"")</f>
        <v/>
      </c>
      <c r="AV171" s="146" t="str">
        <f>IFERROR(_xlfn.IFNA(IF($BA171="No",0,IF(INDEX(Constants!G:G,MATCH(($I171/12),Constants!$A:$A,0))=0,0,INDEX(Constants!G:G,MATCH(($I171/12),Constants!$A:$A,0)))),0),"")</f>
        <v/>
      </c>
      <c r="AW171" s="146" t="str">
        <f>IFERROR(_xlfn.IFNA(IF($BA171="No",0,IF(INDEX(Constants!H:H,MATCH(($I171/12),Constants!$A:$A,0))=0,0,INDEX(Constants!H:H,MATCH(($I171/12),Constants!$A:$A,0)))),0),"")</f>
        <v/>
      </c>
      <c r="AX171" s="146" t="str">
        <f>IFERROR(_xlfn.IFNA(IF($BA171="No",0,IF(INDEX(Constants!I:I,MATCH(($I171/12),Constants!$A:$A,0))=0,0,INDEX(Constants!I:I,MATCH(($I171/12),Constants!$A:$A,0)))),0),"")</f>
        <v/>
      </c>
      <c r="AY171" s="146" t="str">
        <f>IFERROR(_xlfn.IFNA(IF($BA171="No",0,IF(INDEX(Constants!J:J,MATCH(($I171/12),Constants!$A:$A,0))=0,0,INDEX(Constants!J:J,MATCH(($I171/12),Constants!$A:$A,0)))),0),"")</f>
        <v/>
      </c>
      <c r="AZ171" s="146" t="str">
        <f>IFERROR(_xlfn.IFNA(IF($BA171="No",0,IF(INDEX(Constants!K:K,MATCH(($I171/12),Constants!$A:$A,0))=0,0,INDEX(Constants!K:K,MATCH(($I171/12),Constants!$A:$A,0)))),0),"")</f>
        <v/>
      </c>
      <c r="BA171" s="147" t="str">
        <f>_xlfn.IFNA(INDEX(Producer!$L:$L,MATCH($D171,Producer!$A:$A,0)),"")</f>
        <v/>
      </c>
      <c r="BB171" s="146" t="str">
        <f>IFERROR(IF(AQ171=0,"",IF(($I171/12)=15,_xlfn.CONCAT(Constants!$N$7,TEXT(DATE(YEAR(H171)-(($I171/12)-3),MONTH(H171),DAY(H171)),"dd/mm/yyyy"),", ",Constants!$P$7,TEXT(DATE(YEAR(H171)-(($I171/12)-8),MONTH(H171),DAY(H171)),"dd/mm/yyyy"),", ",Constants!$T$7,TEXT(DATE(YEAR(H171)-(($I171/12)-11),MONTH(H171),DAY(H171)),"dd/mm/yyyy"),", ",Constants!$V$7,TEXT(DATE(YEAR(H171)-(($I171/12)-13),MONTH(H171),DAY(H171)),"dd/mm/yyyy"),", ",Constants!$W$7,TEXT($H171,"dd/mm/yyyy")),IF(($I171/12)=10,_xlfn.CONCAT(Constants!$N$6,TEXT(DATE(YEAR(H171)-(($I171/12)-2),MONTH(H171),DAY(H171)),"dd/mm/yyyy"),", ",Constants!$P$6,TEXT(DATE(YEAR(H171)-(($I171/12)-6),MONTH(H171),DAY(H171)),"dd/mm/yyyy"),", ",Constants!$T$6,TEXT(DATE(YEAR(H171)-(($I171/12)-8),MONTH(H171),DAY(H171)),"dd/mm/yyyy"),", ",Constants!$V$6,TEXT(DATE(YEAR(H171)-(($I171/12)-9),MONTH(H171),DAY(H171)),"dd/mm/yyyy"),", ",Constants!$W$6,TEXT($H171,"dd/mm/yyyy")),IF(($I171/12)=5,_xlfn.CONCAT(Constants!$N$5,TEXT(DATE(YEAR(H171)-(($I171/12)-1),MONTH(H171),DAY(H171)),"dd/mm/yyyy"),", ",Constants!$O$5,TEXT(DATE(YEAR(H171)-(($I171/12)-2),MONTH(H171),DAY(H171)),"dd/mm/yyyy"),", ",Constants!$P$5,TEXT(DATE(YEAR(H171)-(($I171/12)-3),MONTH(H171),DAY(H171)),"dd/mm/yyyy"),", ",Constants!$Q$5,TEXT(DATE(YEAR(H171)-(($I171/12)-4),MONTH(H171),DAY(H171)),"dd/mm/yyyy"),", ",Constants!$R$5,TEXT($H171,"dd/mm/yyyy")),IF(($I171/12)=3,_xlfn.CONCAT(Constants!$N$4,TEXT(DATE(YEAR(H171)-(($I171/12)-1),MONTH(H171),DAY(H171)),"dd/mm/yyyy"),", ",Constants!$O$4,TEXT(DATE(YEAR(H171)-(($I171/12)-2),MONTH(H171),DAY(H171)),"dd/mm/yyyy"),", ",Constants!$P$4,TEXT($H171,"dd/mm/yyyy")),IF(($I171/12)=2,_xlfn.CONCAT(Constants!$N$3,TEXT(DATE(YEAR(H171)-(($I171/12)-1),MONTH(H171),DAY(H171)),"dd/mm/yyyy"),", ",Constants!$O$3,TEXT($H171,"dd/mm/yyyy")),IF(($I171/12)=1,_xlfn.CONCAT(Constants!$N$2,TEXT($H171,"dd/mm/yyyy")),"Update Constants"))))))),"")</f>
        <v/>
      </c>
      <c r="BC171" s="147" t="str">
        <f>_xlfn.IFNA(VALUE(INDEX(Producer!$K:$K,MATCH($D171,Producer!$A:$A,0))),"")</f>
        <v/>
      </c>
      <c r="BD171" s="147" t="str">
        <f>_xlfn.IFNA(INDEX(Producer!$I:$I,MATCH($D171,Producer!$A:$A,0)),"")</f>
        <v/>
      </c>
      <c r="BE171" s="147" t="str">
        <f t="shared" si="64"/>
        <v/>
      </c>
      <c r="BF171" s="147"/>
      <c r="BG171" s="147"/>
      <c r="BH171" s="151" t="str">
        <f>_xlfn.IFNA(INDEX(Constants!$B:$B,MATCH(BC171,Constants!A:A,0)),"")</f>
        <v/>
      </c>
      <c r="BI171" s="147" t="str">
        <f>IF(LEFT(B171,15)="Limited Company",Constants!$D$16,IFERROR(_xlfn.IFNA(IF(C171="Residential",IF(BK171&lt;75,INDEX(Constants!$B:$B,MATCH(VALUE(60)/100,Constants!$A:$A,0)),INDEX(Constants!$B:$B,MATCH(VALUE(BK171)/100,Constants!$A:$A,0))),IF(BK171&lt;60,INDEX(Constants!$C:$C,MATCH(VALUE(60)/100,Constants!$A:$A,0)),INDEX(Constants!$C:$C,MATCH(VALUE(BK171)/100,Constants!$A:$A,0)))),""),""))</f>
        <v/>
      </c>
      <c r="BJ171" s="147" t="str">
        <f t="shared" si="65"/>
        <v/>
      </c>
      <c r="BK171" s="147" t="str">
        <f>_xlfn.IFNA(VALUE(INDEX(Producer!$E:$E,MATCH($D171,Producer!$A:$A,0)))*100,"")</f>
        <v/>
      </c>
      <c r="BL171" s="146" t="str">
        <f>_xlfn.IFNA(IF(IFERROR(FIND("Part &amp; Part",B171),-10)&gt;0,"PP",IF(OR(LEFT(B171,25)="Residential Interest Only",INDEX(Producer!$P:$P,MATCH($D171,Producer!$A:$A,0))="IO",INDEX(Producer!$P:$P,MATCH($D171,Producer!$A:$A,0))="Retirement Interest Only"),"IO",IF($C171="BuyToLet","CI, IO","CI"))),"")</f>
        <v/>
      </c>
      <c r="BM171" s="152" t="str">
        <f>_xlfn.IFNA(IF(BL171="IO",100%,IF(AND(INDEX(Producer!$P:$P,MATCH($D171,Producer!$A:$A,0))="Residential Interest Only Part &amp; Part",BK171=75),80%,IF(C171="BuyToLet",100%,IF(BL171="Interest Only",100%,IF(AND(INDEX(Producer!$P:$P,MATCH($D171,Producer!$A:$A,0))="Residential Interest Only Part &amp; Part",BK171=60),100%,""))))),"")</f>
        <v/>
      </c>
      <c r="BN171" s="218" t="str">
        <f>_xlfn.IFNA(IF(VALUE(INDEX(Producer!$H:$H,MATCH($D171,Producer!$A:$A,0)))=0,"",VALUE(INDEX(Producer!$H:$H,MATCH($D171,Producer!$A:$A,0)))),"")</f>
        <v/>
      </c>
      <c r="BO171" s="153"/>
      <c r="BP171" s="153"/>
      <c r="BQ171" s="219" t="str">
        <f t="shared" si="66"/>
        <v/>
      </c>
      <c r="BR171" s="146"/>
      <c r="BS171" s="146"/>
      <c r="BT171" s="146"/>
      <c r="BU171" s="146"/>
      <c r="BV171" s="219" t="str">
        <f t="shared" si="67"/>
        <v/>
      </c>
      <c r="BW171" s="146"/>
      <c r="BX171" s="146"/>
      <c r="BY171" s="146" t="str">
        <f t="shared" si="68"/>
        <v/>
      </c>
      <c r="BZ171" s="146" t="str">
        <f t="shared" si="69"/>
        <v/>
      </c>
      <c r="CA171" s="146" t="str">
        <f t="shared" si="70"/>
        <v/>
      </c>
      <c r="CB171" s="146" t="str">
        <f t="shared" si="71"/>
        <v/>
      </c>
      <c r="CC171" s="146" t="str">
        <f>_xlfn.IFNA(IF(INDEX(Producer!$P:$P,MATCH($D171,Producer!$A:$A,0))="Help to Buy","Only available","No"),"")</f>
        <v/>
      </c>
      <c r="CD171" s="146" t="str">
        <f>_xlfn.IFNA(IF(INDEX(Producer!$P:$P,MATCH($D171,Producer!$A:$A,0))="Shared Ownership","Only available","No"),"")</f>
        <v/>
      </c>
      <c r="CE171" s="146" t="str">
        <f>_xlfn.IFNA(IF(INDEX(Producer!$P:$P,MATCH($D171,Producer!$A:$A,0))="Right to Buy","Only available","No"),"")</f>
        <v/>
      </c>
      <c r="CF171" s="146" t="str">
        <f t="shared" si="72"/>
        <v/>
      </c>
      <c r="CG171" s="146" t="str">
        <f>_xlfn.IFNA(IF(INDEX(Producer!$P:$P,MATCH($D171,Producer!$A:$A,0))="Retirement Interest Only","Only available","No"),"")</f>
        <v/>
      </c>
      <c r="CH171" s="146" t="str">
        <f t="shared" si="73"/>
        <v/>
      </c>
      <c r="CI171" s="146" t="str">
        <f>_xlfn.IFNA(IF(INDEX(Producer!$P:$P,MATCH($D171,Producer!$A:$A,0))="Intermediary Holiday Let","Only available","No"),"")</f>
        <v/>
      </c>
      <c r="CJ171" s="146" t="str">
        <f t="shared" si="74"/>
        <v/>
      </c>
      <c r="CK171" s="146" t="str">
        <f>_xlfn.IFNA(IF(OR(INDEX(Producer!$P:$P,MATCH($D171,Producer!$A:$A,0))="Intermediary Small HMO",INDEX(Producer!$P:$P,MATCH($D171,Producer!$A:$A,0))="Intermediary Large HMO"),"Only available","No"),"")</f>
        <v/>
      </c>
      <c r="CL171" s="146" t="str">
        <f t="shared" si="75"/>
        <v/>
      </c>
      <c r="CM171" s="146" t="str">
        <f t="shared" si="76"/>
        <v/>
      </c>
      <c r="CN171" s="146" t="str">
        <f t="shared" si="77"/>
        <v/>
      </c>
      <c r="CO171" s="146" t="str">
        <f t="shared" si="78"/>
        <v/>
      </c>
      <c r="CP171" s="146" t="str">
        <f t="shared" si="79"/>
        <v/>
      </c>
      <c r="CQ171" s="146" t="str">
        <f t="shared" si="80"/>
        <v/>
      </c>
      <c r="CR171" s="146" t="str">
        <f t="shared" si="81"/>
        <v/>
      </c>
      <c r="CS171" s="146" t="str">
        <f t="shared" si="82"/>
        <v/>
      </c>
      <c r="CT171" s="146" t="str">
        <f t="shared" si="83"/>
        <v/>
      </c>
      <c r="CU171" s="146"/>
    </row>
    <row r="172" spans="1:99" ht="16.399999999999999" customHeight="1" x14ac:dyDescent="0.35">
      <c r="A172" s="145" t="str">
        <f t="shared" si="56"/>
        <v/>
      </c>
      <c r="B172" s="145" t="str">
        <f>_xlfn.IFNA(_xlfn.CONCAT(INDEX(Producer!$P:$P,MATCH($D172,Producer!$A:$A,0))," ",IF(INDEX(Producer!$N:$N,MATCH($D172,Producer!$A:$A,0))="Yes","Green ",""),IF(AND(INDEX(Producer!$L:$L,MATCH($D172,Producer!$A:$A,0))="No",INDEX(Producer!$C:$C,MATCH($D172,Producer!$A:$A,0))="Fixed"),"Flexit ",""),INDEX(Producer!$B:$B,MATCH($D172,Producer!$A:$A,0))," Year ",INDEX(Producer!$C:$C,MATCH($D172,Producer!$A:$A,0))," ",VALUE(INDEX(Producer!$E:$E,MATCH($D172,Producer!$A:$A,0)))*100,"% LTV",IF(INDEX(Producer!$N:$N,MATCH($D172,Producer!$A:$A,0))="Yes"," (EPC A-C)","")," - ",IF(INDEX(Producer!$D:$D,MATCH($D172,Producer!$A:$A,0))="DLY","Daily","Annual")),"")</f>
        <v/>
      </c>
      <c r="C172" s="146" t="str">
        <f>_xlfn.IFNA(INDEX(Producer!$Q:$Q,MATCH($D172,Producer!$A:$A,0)),"")</f>
        <v/>
      </c>
      <c r="D172" s="146" t="str">
        <f>IFERROR(VALUE(MID(Producer!$R$2,IF($D171="",1/0,FIND(_xlfn.CONCAT($D170,$D171),Producer!$R$2)+10),5)),"")</f>
        <v/>
      </c>
      <c r="E172" s="146" t="str">
        <f t="shared" si="57"/>
        <v/>
      </c>
      <c r="F172" s="146"/>
      <c r="G172" s="147" t="str">
        <f>_xlfn.IFNA(VALUE(INDEX(Producer!$F:$F,MATCH($D172,Producer!$A:$A,0)))*100,"")</f>
        <v/>
      </c>
      <c r="H172" s="216" t="str">
        <f>_xlfn.IFNA(IFERROR(DATEVALUE(INDEX(Producer!$M:$M,MATCH($D172,Producer!$A:$A,0))),(INDEX(Producer!$M:$M,MATCH($D172,Producer!$A:$A,0)))),"")</f>
        <v/>
      </c>
      <c r="I172" s="217" t="str">
        <f>_xlfn.IFNA(VALUE(INDEX(Producer!$B:$B,MATCH($D172,Producer!$A:$A,0)))*12,"")</f>
        <v/>
      </c>
      <c r="J172" s="146" t="str">
        <f>_xlfn.IFNA(IF(C172="Residential",IF(VALUE(INDEX(Producer!$B:$B,MATCH($D172,Producer!$A:$A,0)))&lt;5,Constants!$C$10,""),IF(VALUE(INDEX(Producer!$B:$B,MATCH($D172,Producer!$A:$A,0)))&lt;5,Constants!$C$11,"")),"")</f>
        <v/>
      </c>
      <c r="K172" s="216" t="str">
        <f>_xlfn.IFNA(IF(($I172)&lt;60,DATE(YEAR(H172)+(5-VALUE(INDEX(Producer!$B:$B,MATCH($D172,Producer!$A:$A,0)))),MONTH(H172),DAY(H172)),""),"")</f>
        <v/>
      </c>
      <c r="L172" s="153" t="str">
        <f t="shared" si="58"/>
        <v/>
      </c>
      <c r="M172" s="146"/>
      <c r="N172" s="148"/>
      <c r="O172" s="148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146"/>
      <c r="AG172" s="146"/>
      <c r="AH172" s="146"/>
      <c r="AI172" s="146"/>
      <c r="AJ172" s="146"/>
      <c r="AK172" s="146" t="str">
        <f>IF(D172="","",IF(C172="Residential",Constants!$B$10,Constants!$B$11))</f>
        <v/>
      </c>
      <c r="AL172" s="146" t="str">
        <f t="shared" si="59"/>
        <v/>
      </c>
      <c r="AM172" s="206" t="str">
        <f t="shared" si="60"/>
        <v/>
      </c>
      <c r="AN172" s="146" t="str">
        <f t="shared" si="61"/>
        <v/>
      </c>
      <c r="AO172" s="149" t="str">
        <f t="shared" si="62"/>
        <v/>
      </c>
      <c r="AP172" s="150" t="str">
        <f t="shared" si="63"/>
        <v/>
      </c>
      <c r="AQ172" s="146" t="str">
        <f>IFERROR(_xlfn.IFNA(IF($BA172="No",0,IF(INDEX(Constants!B:B,MATCH(($I172/12),Constants!$A:$A,0))=0,0,INDEX(Constants!B:B,MATCH(($I172/12),Constants!$A:$A,0)))),0),"")</f>
        <v/>
      </c>
      <c r="AR172" s="146" t="str">
        <f>IFERROR(_xlfn.IFNA(IF($BA172="No",0,IF(INDEX(Constants!C:C,MATCH(($I172/12),Constants!$A:$A,0))=0,0,INDEX(Constants!C:C,MATCH(($I172/12),Constants!$A:$A,0)))),0),"")</f>
        <v/>
      </c>
      <c r="AS172" s="146" t="str">
        <f>IFERROR(_xlfn.IFNA(IF($BA172="No",0,IF(INDEX(Constants!D:D,MATCH(($I172/12),Constants!$A:$A,0))=0,0,INDEX(Constants!D:D,MATCH(($I172/12),Constants!$A:$A,0)))),0),"")</f>
        <v/>
      </c>
      <c r="AT172" s="146" t="str">
        <f>IFERROR(_xlfn.IFNA(IF($BA172="No",0,IF(INDEX(Constants!E:E,MATCH(($I172/12),Constants!$A:$A,0))=0,0,INDEX(Constants!E:E,MATCH(($I172/12),Constants!$A:$A,0)))),0),"")</f>
        <v/>
      </c>
      <c r="AU172" s="146" t="str">
        <f>IFERROR(_xlfn.IFNA(IF($BA172="No",0,IF(INDEX(Constants!F:F,MATCH(($I172/12),Constants!$A:$A,0))=0,0,INDEX(Constants!F:F,MATCH(($I172/12),Constants!$A:$A,0)))),0),"")</f>
        <v/>
      </c>
      <c r="AV172" s="146" t="str">
        <f>IFERROR(_xlfn.IFNA(IF($BA172="No",0,IF(INDEX(Constants!G:G,MATCH(($I172/12),Constants!$A:$A,0))=0,0,INDEX(Constants!G:G,MATCH(($I172/12),Constants!$A:$A,0)))),0),"")</f>
        <v/>
      </c>
      <c r="AW172" s="146" t="str">
        <f>IFERROR(_xlfn.IFNA(IF($BA172="No",0,IF(INDEX(Constants!H:H,MATCH(($I172/12),Constants!$A:$A,0))=0,0,INDEX(Constants!H:H,MATCH(($I172/12),Constants!$A:$A,0)))),0),"")</f>
        <v/>
      </c>
      <c r="AX172" s="146" t="str">
        <f>IFERROR(_xlfn.IFNA(IF($BA172="No",0,IF(INDEX(Constants!I:I,MATCH(($I172/12),Constants!$A:$A,0))=0,0,INDEX(Constants!I:I,MATCH(($I172/12),Constants!$A:$A,0)))),0),"")</f>
        <v/>
      </c>
      <c r="AY172" s="146" t="str">
        <f>IFERROR(_xlfn.IFNA(IF($BA172="No",0,IF(INDEX(Constants!J:J,MATCH(($I172/12),Constants!$A:$A,0))=0,0,INDEX(Constants!J:J,MATCH(($I172/12),Constants!$A:$A,0)))),0),"")</f>
        <v/>
      </c>
      <c r="AZ172" s="146" t="str">
        <f>IFERROR(_xlfn.IFNA(IF($BA172="No",0,IF(INDEX(Constants!K:K,MATCH(($I172/12),Constants!$A:$A,0))=0,0,INDEX(Constants!K:K,MATCH(($I172/12),Constants!$A:$A,0)))),0),"")</f>
        <v/>
      </c>
      <c r="BA172" s="147" t="str">
        <f>_xlfn.IFNA(INDEX(Producer!$L:$L,MATCH($D172,Producer!$A:$A,0)),"")</f>
        <v/>
      </c>
      <c r="BB172" s="146" t="str">
        <f>IFERROR(IF(AQ172=0,"",IF(($I172/12)=15,_xlfn.CONCAT(Constants!$N$7,TEXT(DATE(YEAR(H172)-(($I172/12)-3),MONTH(H172),DAY(H172)),"dd/mm/yyyy"),", ",Constants!$P$7,TEXT(DATE(YEAR(H172)-(($I172/12)-8),MONTH(H172),DAY(H172)),"dd/mm/yyyy"),", ",Constants!$T$7,TEXT(DATE(YEAR(H172)-(($I172/12)-11),MONTH(H172),DAY(H172)),"dd/mm/yyyy"),", ",Constants!$V$7,TEXT(DATE(YEAR(H172)-(($I172/12)-13),MONTH(H172),DAY(H172)),"dd/mm/yyyy"),", ",Constants!$W$7,TEXT($H172,"dd/mm/yyyy")),IF(($I172/12)=10,_xlfn.CONCAT(Constants!$N$6,TEXT(DATE(YEAR(H172)-(($I172/12)-2),MONTH(H172),DAY(H172)),"dd/mm/yyyy"),", ",Constants!$P$6,TEXT(DATE(YEAR(H172)-(($I172/12)-6),MONTH(H172),DAY(H172)),"dd/mm/yyyy"),", ",Constants!$T$6,TEXT(DATE(YEAR(H172)-(($I172/12)-8),MONTH(H172),DAY(H172)),"dd/mm/yyyy"),", ",Constants!$V$6,TEXT(DATE(YEAR(H172)-(($I172/12)-9),MONTH(H172),DAY(H172)),"dd/mm/yyyy"),", ",Constants!$W$6,TEXT($H172,"dd/mm/yyyy")),IF(($I172/12)=5,_xlfn.CONCAT(Constants!$N$5,TEXT(DATE(YEAR(H172)-(($I172/12)-1),MONTH(H172),DAY(H172)),"dd/mm/yyyy"),", ",Constants!$O$5,TEXT(DATE(YEAR(H172)-(($I172/12)-2),MONTH(H172),DAY(H172)),"dd/mm/yyyy"),", ",Constants!$P$5,TEXT(DATE(YEAR(H172)-(($I172/12)-3),MONTH(H172),DAY(H172)),"dd/mm/yyyy"),", ",Constants!$Q$5,TEXT(DATE(YEAR(H172)-(($I172/12)-4),MONTH(H172),DAY(H172)),"dd/mm/yyyy"),", ",Constants!$R$5,TEXT($H172,"dd/mm/yyyy")),IF(($I172/12)=3,_xlfn.CONCAT(Constants!$N$4,TEXT(DATE(YEAR(H172)-(($I172/12)-1),MONTH(H172),DAY(H172)),"dd/mm/yyyy"),", ",Constants!$O$4,TEXT(DATE(YEAR(H172)-(($I172/12)-2),MONTH(H172),DAY(H172)),"dd/mm/yyyy"),", ",Constants!$P$4,TEXT($H172,"dd/mm/yyyy")),IF(($I172/12)=2,_xlfn.CONCAT(Constants!$N$3,TEXT(DATE(YEAR(H172)-(($I172/12)-1),MONTH(H172),DAY(H172)),"dd/mm/yyyy"),", ",Constants!$O$3,TEXT($H172,"dd/mm/yyyy")),IF(($I172/12)=1,_xlfn.CONCAT(Constants!$N$2,TEXT($H172,"dd/mm/yyyy")),"Update Constants"))))))),"")</f>
        <v/>
      </c>
      <c r="BC172" s="147" t="str">
        <f>_xlfn.IFNA(VALUE(INDEX(Producer!$K:$K,MATCH($D172,Producer!$A:$A,0))),"")</f>
        <v/>
      </c>
      <c r="BD172" s="147" t="str">
        <f>_xlfn.IFNA(INDEX(Producer!$I:$I,MATCH($D172,Producer!$A:$A,0)),"")</f>
        <v/>
      </c>
      <c r="BE172" s="147" t="str">
        <f t="shared" si="64"/>
        <v/>
      </c>
      <c r="BF172" s="147"/>
      <c r="BG172" s="147"/>
      <c r="BH172" s="151" t="str">
        <f>_xlfn.IFNA(INDEX(Constants!$B:$B,MATCH(BC172,Constants!A:A,0)),"")</f>
        <v/>
      </c>
      <c r="BI172" s="147" t="str">
        <f>IF(LEFT(B172,15)="Limited Company",Constants!$D$16,IFERROR(_xlfn.IFNA(IF(C172="Residential",IF(BK172&lt;75,INDEX(Constants!$B:$B,MATCH(VALUE(60)/100,Constants!$A:$A,0)),INDEX(Constants!$B:$B,MATCH(VALUE(BK172)/100,Constants!$A:$A,0))),IF(BK172&lt;60,INDEX(Constants!$C:$C,MATCH(VALUE(60)/100,Constants!$A:$A,0)),INDEX(Constants!$C:$C,MATCH(VALUE(BK172)/100,Constants!$A:$A,0)))),""),""))</f>
        <v/>
      </c>
      <c r="BJ172" s="147" t="str">
        <f t="shared" si="65"/>
        <v/>
      </c>
      <c r="BK172" s="147" t="str">
        <f>_xlfn.IFNA(VALUE(INDEX(Producer!$E:$E,MATCH($D172,Producer!$A:$A,0)))*100,"")</f>
        <v/>
      </c>
      <c r="BL172" s="146" t="str">
        <f>_xlfn.IFNA(IF(IFERROR(FIND("Part &amp; Part",B172),-10)&gt;0,"PP",IF(OR(LEFT(B172,25)="Residential Interest Only",INDEX(Producer!$P:$P,MATCH($D172,Producer!$A:$A,0))="IO",INDEX(Producer!$P:$P,MATCH($D172,Producer!$A:$A,0))="Retirement Interest Only"),"IO",IF($C172="BuyToLet","CI, IO","CI"))),"")</f>
        <v/>
      </c>
      <c r="BM172" s="152" t="str">
        <f>_xlfn.IFNA(IF(BL172="IO",100%,IF(AND(INDEX(Producer!$P:$P,MATCH($D172,Producer!$A:$A,0))="Residential Interest Only Part &amp; Part",BK172=75),80%,IF(C172="BuyToLet",100%,IF(BL172="Interest Only",100%,IF(AND(INDEX(Producer!$P:$P,MATCH($D172,Producer!$A:$A,0))="Residential Interest Only Part &amp; Part",BK172=60),100%,""))))),"")</f>
        <v/>
      </c>
      <c r="BN172" s="218" t="str">
        <f>_xlfn.IFNA(IF(VALUE(INDEX(Producer!$H:$H,MATCH($D172,Producer!$A:$A,0)))=0,"",VALUE(INDEX(Producer!$H:$H,MATCH($D172,Producer!$A:$A,0)))),"")</f>
        <v/>
      </c>
      <c r="BO172" s="153"/>
      <c r="BP172" s="153"/>
      <c r="BQ172" s="219" t="str">
        <f t="shared" si="66"/>
        <v/>
      </c>
      <c r="BR172" s="146"/>
      <c r="BS172" s="146"/>
      <c r="BT172" s="146"/>
      <c r="BU172" s="146"/>
      <c r="BV172" s="219" t="str">
        <f t="shared" si="67"/>
        <v/>
      </c>
      <c r="BW172" s="146"/>
      <c r="BX172" s="146"/>
      <c r="BY172" s="146" t="str">
        <f t="shared" si="68"/>
        <v/>
      </c>
      <c r="BZ172" s="146" t="str">
        <f t="shared" si="69"/>
        <v/>
      </c>
      <c r="CA172" s="146" t="str">
        <f t="shared" si="70"/>
        <v/>
      </c>
      <c r="CB172" s="146" t="str">
        <f t="shared" si="71"/>
        <v/>
      </c>
      <c r="CC172" s="146" t="str">
        <f>_xlfn.IFNA(IF(INDEX(Producer!$P:$P,MATCH($D172,Producer!$A:$A,0))="Help to Buy","Only available","No"),"")</f>
        <v/>
      </c>
      <c r="CD172" s="146" t="str">
        <f>_xlfn.IFNA(IF(INDEX(Producer!$P:$P,MATCH($D172,Producer!$A:$A,0))="Shared Ownership","Only available","No"),"")</f>
        <v/>
      </c>
      <c r="CE172" s="146" t="str">
        <f>_xlfn.IFNA(IF(INDEX(Producer!$P:$P,MATCH($D172,Producer!$A:$A,0))="Right to Buy","Only available","No"),"")</f>
        <v/>
      </c>
      <c r="CF172" s="146" t="str">
        <f t="shared" si="72"/>
        <v/>
      </c>
      <c r="CG172" s="146" t="str">
        <f>_xlfn.IFNA(IF(INDEX(Producer!$P:$P,MATCH($D172,Producer!$A:$A,0))="Retirement Interest Only","Only available","No"),"")</f>
        <v/>
      </c>
      <c r="CH172" s="146" t="str">
        <f t="shared" si="73"/>
        <v/>
      </c>
      <c r="CI172" s="146" t="str">
        <f>_xlfn.IFNA(IF(INDEX(Producer!$P:$P,MATCH($D172,Producer!$A:$A,0))="Intermediary Holiday Let","Only available","No"),"")</f>
        <v/>
      </c>
      <c r="CJ172" s="146" t="str">
        <f t="shared" si="74"/>
        <v/>
      </c>
      <c r="CK172" s="146" t="str">
        <f>_xlfn.IFNA(IF(OR(INDEX(Producer!$P:$P,MATCH($D172,Producer!$A:$A,0))="Intermediary Small HMO",INDEX(Producer!$P:$P,MATCH($D172,Producer!$A:$A,0))="Intermediary Large HMO"),"Only available","No"),"")</f>
        <v/>
      </c>
      <c r="CL172" s="146" t="str">
        <f t="shared" si="75"/>
        <v/>
      </c>
      <c r="CM172" s="146" t="str">
        <f t="shared" si="76"/>
        <v/>
      </c>
      <c r="CN172" s="146" t="str">
        <f t="shared" si="77"/>
        <v/>
      </c>
      <c r="CO172" s="146" t="str">
        <f t="shared" si="78"/>
        <v/>
      </c>
      <c r="CP172" s="146" t="str">
        <f t="shared" si="79"/>
        <v/>
      </c>
      <c r="CQ172" s="146" t="str">
        <f t="shared" si="80"/>
        <v/>
      </c>
      <c r="CR172" s="146" t="str">
        <f t="shared" si="81"/>
        <v/>
      </c>
      <c r="CS172" s="146" t="str">
        <f t="shared" si="82"/>
        <v/>
      </c>
      <c r="CT172" s="146" t="str">
        <f t="shared" si="83"/>
        <v/>
      </c>
      <c r="CU172" s="146"/>
    </row>
    <row r="173" spans="1:99" ht="16.399999999999999" customHeight="1" x14ac:dyDescent="0.35">
      <c r="A173" s="145" t="str">
        <f t="shared" si="56"/>
        <v/>
      </c>
      <c r="B173" s="145" t="str">
        <f>_xlfn.IFNA(_xlfn.CONCAT(INDEX(Producer!$P:$P,MATCH($D173,Producer!$A:$A,0))," ",IF(INDEX(Producer!$N:$N,MATCH($D173,Producer!$A:$A,0))="Yes","Green ",""),IF(AND(INDEX(Producer!$L:$L,MATCH($D173,Producer!$A:$A,0))="No",INDEX(Producer!$C:$C,MATCH($D173,Producer!$A:$A,0))="Fixed"),"Flexit ",""),INDEX(Producer!$B:$B,MATCH($D173,Producer!$A:$A,0))," Year ",INDEX(Producer!$C:$C,MATCH($D173,Producer!$A:$A,0))," ",VALUE(INDEX(Producer!$E:$E,MATCH($D173,Producer!$A:$A,0)))*100,"% LTV",IF(INDEX(Producer!$N:$N,MATCH($D173,Producer!$A:$A,0))="Yes"," (EPC A-C)","")," - ",IF(INDEX(Producer!$D:$D,MATCH($D173,Producer!$A:$A,0))="DLY","Daily","Annual")),"")</f>
        <v/>
      </c>
      <c r="C173" s="146" t="str">
        <f>_xlfn.IFNA(INDEX(Producer!$Q:$Q,MATCH($D173,Producer!$A:$A,0)),"")</f>
        <v/>
      </c>
      <c r="D173" s="146" t="str">
        <f>IFERROR(VALUE(MID(Producer!$R$2,IF($D172="",1/0,FIND(_xlfn.CONCAT($D171,$D172),Producer!$R$2)+10),5)),"")</f>
        <v/>
      </c>
      <c r="E173" s="146" t="str">
        <f t="shared" si="57"/>
        <v/>
      </c>
      <c r="F173" s="146"/>
      <c r="G173" s="147" t="str">
        <f>_xlfn.IFNA(VALUE(INDEX(Producer!$F:$F,MATCH($D173,Producer!$A:$A,0)))*100,"")</f>
        <v/>
      </c>
      <c r="H173" s="216" t="str">
        <f>_xlfn.IFNA(IFERROR(DATEVALUE(INDEX(Producer!$M:$M,MATCH($D173,Producer!$A:$A,0))),(INDEX(Producer!$M:$M,MATCH($D173,Producer!$A:$A,0)))),"")</f>
        <v/>
      </c>
      <c r="I173" s="217" t="str">
        <f>_xlfn.IFNA(VALUE(INDEX(Producer!$B:$B,MATCH($D173,Producer!$A:$A,0)))*12,"")</f>
        <v/>
      </c>
      <c r="J173" s="146" t="str">
        <f>_xlfn.IFNA(IF(C173="Residential",IF(VALUE(INDEX(Producer!$B:$B,MATCH($D173,Producer!$A:$A,0)))&lt;5,Constants!$C$10,""),IF(VALUE(INDEX(Producer!$B:$B,MATCH($D173,Producer!$A:$A,0)))&lt;5,Constants!$C$11,"")),"")</f>
        <v/>
      </c>
      <c r="K173" s="216" t="str">
        <f>_xlfn.IFNA(IF(($I173)&lt;60,DATE(YEAR(H173)+(5-VALUE(INDEX(Producer!$B:$B,MATCH($D173,Producer!$A:$A,0)))),MONTH(H173),DAY(H173)),""),"")</f>
        <v/>
      </c>
      <c r="L173" s="153" t="str">
        <f t="shared" si="58"/>
        <v/>
      </c>
      <c r="M173" s="146"/>
      <c r="N173" s="148"/>
      <c r="O173" s="148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6"/>
      <c r="AK173" s="146" t="str">
        <f>IF(D173="","",IF(C173="Residential",Constants!$B$10,Constants!$B$11))</f>
        <v/>
      </c>
      <c r="AL173" s="146" t="str">
        <f t="shared" si="59"/>
        <v/>
      </c>
      <c r="AM173" s="206" t="str">
        <f t="shared" si="60"/>
        <v/>
      </c>
      <c r="AN173" s="146" t="str">
        <f t="shared" si="61"/>
        <v/>
      </c>
      <c r="AO173" s="149" t="str">
        <f t="shared" si="62"/>
        <v/>
      </c>
      <c r="AP173" s="150" t="str">
        <f t="shared" si="63"/>
        <v/>
      </c>
      <c r="AQ173" s="146" t="str">
        <f>IFERROR(_xlfn.IFNA(IF($BA173="No",0,IF(INDEX(Constants!B:B,MATCH(($I173/12),Constants!$A:$A,0))=0,0,INDEX(Constants!B:B,MATCH(($I173/12),Constants!$A:$A,0)))),0),"")</f>
        <v/>
      </c>
      <c r="AR173" s="146" t="str">
        <f>IFERROR(_xlfn.IFNA(IF($BA173="No",0,IF(INDEX(Constants!C:C,MATCH(($I173/12),Constants!$A:$A,0))=0,0,INDEX(Constants!C:C,MATCH(($I173/12),Constants!$A:$A,0)))),0),"")</f>
        <v/>
      </c>
      <c r="AS173" s="146" t="str">
        <f>IFERROR(_xlfn.IFNA(IF($BA173="No",0,IF(INDEX(Constants!D:D,MATCH(($I173/12),Constants!$A:$A,0))=0,0,INDEX(Constants!D:D,MATCH(($I173/12),Constants!$A:$A,0)))),0),"")</f>
        <v/>
      </c>
      <c r="AT173" s="146" t="str">
        <f>IFERROR(_xlfn.IFNA(IF($BA173="No",0,IF(INDEX(Constants!E:E,MATCH(($I173/12),Constants!$A:$A,0))=0,0,INDEX(Constants!E:E,MATCH(($I173/12),Constants!$A:$A,0)))),0),"")</f>
        <v/>
      </c>
      <c r="AU173" s="146" t="str">
        <f>IFERROR(_xlfn.IFNA(IF($BA173="No",0,IF(INDEX(Constants!F:F,MATCH(($I173/12),Constants!$A:$A,0))=0,0,INDEX(Constants!F:F,MATCH(($I173/12),Constants!$A:$A,0)))),0),"")</f>
        <v/>
      </c>
      <c r="AV173" s="146" t="str">
        <f>IFERROR(_xlfn.IFNA(IF($BA173="No",0,IF(INDEX(Constants!G:G,MATCH(($I173/12),Constants!$A:$A,0))=0,0,INDEX(Constants!G:G,MATCH(($I173/12),Constants!$A:$A,0)))),0),"")</f>
        <v/>
      </c>
      <c r="AW173" s="146" t="str">
        <f>IFERROR(_xlfn.IFNA(IF($BA173="No",0,IF(INDEX(Constants!H:H,MATCH(($I173/12),Constants!$A:$A,0))=0,0,INDEX(Constants!H:H,MATCH(($I173/12),Constants!$A:$A,0)))),0),"")</f>
        <v/>
      </c>
      <c r="AX173" s="146" t="str">
        <f>IFERROR(_xlfn.IFNA(IF($BA173="No",0,IF(INDEX(Constants!I:I,MATCH(($I173/12),Constants!$A:$A,0))=0,0,INDEX(Constants!I:I,MATCH(($I173/12),Constants!$A:$A,0)))),0),"")</f>
        <v/>
      </c>
      <c r="AY173" s="146" t="str">
        <f>IFERROR(_xlfn.IFNA(IF($BA173="No",0,IF(INDEX(Constants!J:J,MATCH(($I173/12),Constants!$A:$A,0))=0,0,INDEX(Constants!J:J,MATCH(($I173/12),Constants!$A:$A,0)))),0),"")</f>
        <v/>
      </c>
      <c r="AZ173" s="146" t="str">
        <f>IFERROR(_xlfn.IFNA(IF($BA173="No",0,IF(INDEX(Constants!K:K,MATCH(($I173/12),Constants!$A:$A,0))=0,0,INDEX(Constants!K:K,MATCH(($I173/12),Constants!$A:$A,0)))),0),"")</f>
        <v/>
      </c>
      <c r="BA173" s="147" t="str">
        <f>_xlfn.IFNA(INDEX(Producer!$L:$L,MATCH($D173,Producer!$A:$A,0)),"")</f>
        <v/>
      </c>
      <c r="BB173" s="146" t="str">
        <f>IFERROR(IF(AQ173=0,"",IF(($I173/12)=15,_xlfn.CONCAT(Constants!$N$7,TEXT(DATE(YEAR(H173)-(($I173/12)-3),MONTH(H173),DAY(H173)),"dd/mm/yyyy"),", ",Constants!$P$7,TEXT(DATE(YEAR(H173)-(($I173/12)-8),MONTH(H173),DAY(H173)),"dd/mm/yyyy"),", ",Constants!$T$7,TEXT(DATE(YEAR(H173)-(($I173/12)-11),MONTH(H173),DAY(H173)),"dd/mm/yyyy"),", ",Constants!$V$7,TEXT(DATE(YEAR(H173)-(($I173/12)-13),MONTH(H173),DAY(H173)),"dd/mm/yyyy"),", ",Constants!$W$7,TEXT($H173,"dd/mm/yyyy")),IF(($I173/12)=10,_xlfn.CONCAT(Constants!$N$6,TEXT(DATE(YEAR(H173)-(($I173/12)-2),MONTH(H173),DAY(H173)),"dd/mm/yyyy"),", ",Constants!$P$6,TEXT(DATE(YEAR(H173)-(($I173/12)-6),MONTH(H173),DAY(H173)),"dd/mm/yyyy"),", ",Constants!$T$6,TEXT(DATE(YEAR(H173)-(($I173/12)-8),MONTH(H173),DAY(H173)),"dd/mm/yyyy"),", ",Constants!$V$6,TEXT(DATE(YEAR(H173)-(($I173/12)-9),MONTH(H173),DAY(H173)),"dd/mm/yyyy"),", ",Constants!$W$6,TEXT($H173,"dd/mm/yyyy")),IF(($I173/12)=5,_xlfn.CONCAT(Constants!$N$5,TEXT(DATE(YEAR(H173)-(($I173/12)-1),MONTH(H173),DAY(H173)),"dd/mm/yyyy"),", ",Constants!$O$5,TEXT(DATE(YEAR(H173)-(($I173/12)-2),MONTH(H173),DAY(H173)),"dd/mm/yyyy"),", ",Constants!$P$5,TEXT(DATE(YEAR(H173)-(($I173/12)-3),MONTH(H173),DAY(H173)),"dd/mm/yyyy"),", ",Constants!$Q$5,TEXT(DATE(YEAR(H173)-(($I173/12)-4),MONTH(H173),DAY(H173)),"dd/mm/yyyy"),", ",Constants!$R$5,TEXT($H173,"dd/mm/yyyy")),IF(($I173/12)=3,_xlfn.CONCAT(Constants!$N$4,TEXT(DATE(YEAR(H173)-(($I173/12)-1),MONTH(H173),DAY(H173)),"dd/mm/yyyy"),", ",Constants!$O$4,TEXT(DATE(YEAR(H173)-(($I173/12)-2),MONTH(H173),DAY(H173)),"dd/mm/yyyy"),", ",Constants!$P$4,TEXT($H173,"dd/mm/yyyy")),IF(($I173/12)=2,_xlfn.CONCAT(Constants!$N$3,TEXT(DATE(YEAR(H173)-(($I173/12)-1),MONTH(H173),DAY(H173)),"dd/mm/yyyy"),", ",Constants!$O$3,TEXT($H173,"dd/mm/yyyy")),IF(($I173/12)=1,_xlfn.CONCAT(Constants!$N$2,TEXT($H173,"dd/mm/yyyy")),"Update Constants"))))))),"")</f>
        <v/>
      </c>
      <c r="BC173" s="147" t="str">
        <f>_xlfn.IFNA(VALUE(INDEX(Producer!$K:$K,MATCH($D173,Producer!$A:$A,0))),"")</f>
        <v/>
      </c>
      <c r="BD173" s="147" t="str">
        <f>_xlfn.IFNA(INDEX(Producer!$I:$I,MATCH($D173,Producer!$A:$A,0)),"")</f>
        <v/>
      </c>
      <c r="BE173" s="147" t="str">
        <f t="shared" si="64"/>
        <v/>
      </c>
      <c r="BF173" s="147"/>
      <c r="BG173" s="147"/>
      <c r="BH173" s="151" t="str">
        <f>_xlfn.IFNA(INDEX(Constants!$B:$B,MATCH(BC173,Constants!A:A,0)),"")</f>
        <v/>
      </c>
      <c r="BI173" s="147" t="str">
        <f>IF(LEFT(B173,15)="Limited Company",Constants!$D$16,IFERROR(_xlfn.IFNA(IF(C173="Residential",IF(BK173&lt;75,INDEX(Constants!$B:$B,MATCH(VALUE(60)/100,Constants!$A:$A,0)),INDEX(Constants!$B:$B,MATCH(VALUE(BK173)/100,Constants!$A:$A,0))),IF(BK173&lt;60,INDEX(Constants!$C:$C,MATCH(VALUE(60)/100,Constants!$A:$A,0)),INDEX(Constants!$C:$C,MATCH(VALUE(BK173)/100,Constants!$A:$A,0)))),""),""))</f>
        <v/>
      </c>
      <c r="BJ173" s="147" t="str">
        <f t="shared" si="65"/>
        <v/>
      </c>
      <c r="BK173" s="147" t="str">
        <f>_xlfn.IFNA(VALUE(INDEX(Producer!$E:$E,MATCH($D173,Producer!$A:$A,0)))*100,"")</f>
        <v/>
      </c>
      <c r="BL173" s="146" t="str">
        <f>_xlfn.IFNA(IF(IFERROR(FIND("Part &amp; Part",B173),-10)&gt;0,"PP",IF(OR(LEFT(B173,25)="Residential Interest Only",INDEX(Producer!$P:$P,MATCH($D173,Producer!$A:$A,0))="IO",INDEX(Producer!$P:$P,MATCH($D173,Producer!$A:$A,0))="Retirement Interest Only"),"IO",IF($C173="BuyToLet","CI, IO","CI"))),"")</f>
        <v/>
      </c>
      <c r="BM173" s="152" t="str">
        <f>_xlfn.IFNA(IF(BL173="IO",100%,IF(AND(INDEX(Producer!$P:$P,MATCH($D173,Producer!$A:$A,0))="Residential Interest Only Part &amp; Part",BK173=75),80%,IF(C173="BuyToLet",100%,IF(BL173="Interest Only",100%,IF(AND(INDEX(Producer!$P:$P,MATCH($D173,Producer!$A:$A,0))="Residential Interest Only Part &amp; Part",BK173=60),100%,""))))),"")</f>
        <v/>
      </c>
      <c r="BN173" s="218" t="str">
        <f>_xlfn.IFNA(IF(VALUE(INDEX(Producer!$H:$H,MATCH($D173,Producer!$A:$A,0)))=0,"",VALUE(INDEX(Producer!$H:$H,MATCH($D173,Producer!$A:$A,0)))),"")</f>
        <v/>
      </c>
      <c r="BO173" s="153"/>
      <c r="BP173" s="153"/>
      <c r="BQ173" s="219" t="str">
        <f t="shared" si="66"/>
        <v/>
      </c>
      <c r="BR173" s="146"/>
      <c r="BS173" s="146"/>
      <c r="BT173" s="146"/>
      <c r="BU173" s="146"/>
      <c r="BV173" s="219" t="str">
        <f t="shared" si="67"/>
        <v/>
      </c>
      <c r="BW173" s="146"/>
      <c r="BX173" s="146"/>
      <c r="BY173" s="146" t="str">
        <f t="shared" si="68"/>
        <v/>
      </c>
      <c r="BZ173" s="146" t="str">
        <f t="shared" si="69"/>
        <v/>
      </c>
      <c r="CA173" s="146" t="str">
        <f t="shared" si="70"/>
        <v/>
      </c>
      <c r="CB173" s="146" t="str">
        <f t="shared" si="71"/>
        <v/>
      </c>
      <c r="CC173" s="146" t="str">
        <f>_xlfn.IFNA(IF(INDEX(Producer!$P:$P,MATCH($D173,Producer!$A:$A,0))="Help to Buy","Only available","No"),"")</f>
        <v/>
      </c>
      <c r="CD173" s="146" t="str">
        <f>_xlfn.IFNA(IF(INDEX(Producer!$P:$P,MATCH($D173,Producer!$A:$A,0))="Shared Ownership","Only available","No"),"")</f>
        <v/>
      </c>
      <c r="CE173" s="146" t="str">
        <f>_xlfn.IFNA(IF(INDEX(Producer!$P:$P,MATCH($D173,Producer!$A:$A,0))="Right to Buy","Only available","No"),"")</f>
        <v/>
      </c>
      <c r="CF173" s="146" t="str">
        <f t="shared" si="72"/>
        <v/>
      </c>
      <c r="CG173" s="146" t="str">
        <f>_xlfn.IFNA(IF(INDEX(Producer!$P:$P,MATCH($D173,Producer!$A:$A,0))="Retirement Interest Only","Only available","No"),"")</f>
        <v/>
      </c>
      <c r="CH173" s="146" t="str">
        <f t="shared" si="73"/>
        <v/>
      </c>
      <c r="CI173" s="146" t="str">
        <f>_xlfn.IFNA(IF(INDEX(Producer!$P:$P,MATCH($D173,Producer!$A:$A,0))="Intermediary Holiday Let","Only available","No"),"")</f>
        <v/>
      </c>
      <c r="CJ173" s="146" t="str">
        <f t="shared" si="74"/>
        <v/>
      </c>
      <c r="CK173" s="146" t="str">
        <f>_xlfn.IFNA(IF(OR(INDEX(Producer!$P:$P,MATCH($D173,Producer!$A:$A,0))="Intermediary Small HMO",INDEX(Producer!$P:$P,MATCH($D173,Producer!$A:$A,0))="Intermediary Large HMO"),"Only available","No"),"")</f>
        <v/>
      </c>
      <c r="CL173" s="146" t="str">
        <f t="shared" si="75"/>
        <v/>
      </c>
      <c r="CM173" s="146" t="str">
        <f t="shared" si="76"/>
        <v/>
      </c>
      <c r="CN173" s="146" t="str">
        <f t="shared" si="77"/>
        <v/>
      </c>
      <c r="CO173" s="146" t="str">
        <f t="shared" si="78"/>
        <v/>
      </c>
      <c r="CP173" s="146" t="str">
        <f t="shared" si="79"/>
        <v/>
      </c>
      <c r="CQ173" s="146" t="str">
        <f t="shared" si="80"/>
        <v/>
      </c>
      <c r="CR173" s="146" t="str">
        <f t="shared" si="81"/>
        <v/>
      </c>
      <c r="CS173" s="146" t="str">
        <f t="shared" si="82"/>
        <v/>
      </c>
      <c r="CT173" s="146" t="str">
        <f t="shared" si="83"/>
        <v/>
      </c>
      <c r="CU173" s="146"/>
    </row>
    <row r="174" spans="1:99" ht="16.399999999999999" customHeight="1" x14ac:dyDescent="0.35">
      <c r="A174" s="145" t="str">
        <f t="shared" si="56"/>
        <v/>
      </c>
      <c r="B174" s="145" t="str">
        <f>_xlfn.IFNA(_xlfn.CONCAT(INDEX(Producer!$P:$P,MATCH($D174,Producer!$A:$A,0))," ",IF(INDEX(Producer!$N:$N,MATCH($D174,Producer!$A:$A,0))="Yes","Green ",""),IF(AND(INDEX(Producer!$L:$L,MATCH($D174,Producer!$A:$A,0))="No",INDEX(Producer!$C:$C,MATCH($D174,Producer!$A:$A,0))="Fixed"),"Flexit ",""),INDEX(Producer!$B:$B,MATCH($D174,Producer!$A:$A,0))," Year ",INDEX(Producer!$C:$C,MATCH($D174,Producer!$A:$A,0))," ",VALUE(INDEX(Producer!$E:$E,MATCH($D174,Producer!$A:$A,0)))*100,"% LTV",IF(INDEX(Producer!$N:$N,MATCH($D174,Producer!$A:$A,0))="Yes"," (EPC A-C)","")," - ",IF(INDEX(Producer!$D:$D,MATCH($D174,Producer!$A:$A,0))="DLY","Daily","Annual")),"")</f>
        <v/>
      </c>
      <c r="C174" s="146" t="str">
        <f>_xlfn.IFNA(INDEX(Producer!$Q:$Q,MATCH($D174,Producer!$A:$A,0)),"")</f>
        <v/>
      </c>
      <c r="D174" s="146" t="str">
        <f>IFERROR(VALUE(MID(Producer!$R$2,IF($D173="",1/0,FIND(_xlfn.CONCAT($D172,$D173),Producer!$R$2)+10),5)),"")</f>
        <v/>
      </c>
      <c r="E174" s="146" t="str">
        <f t="shared" si="57"/>
        <v/>
      </c>
      <c r="F174" s="146"/>
      <c r="G174" s="147" t="str">
        <f>_xlfn.IFNA(VALUE(INDEX(Producer!$F:$F,MATCH($D174,Producer!$A:$A,0)))*100,"")</f>
        <v/>
      </c>
      <c r="H174" s="216" t="str">
        <f>_xlfn.IFNA(IFERROR(DATEVALUE(INDEX(Producer!$M:$M,MATCH($D174,Producer!$A:$A,0))),(INDEX(Producer!$M:$M,MATCH($D174,Producer!$A:$A,0)))),"")</f>
        <v/>
      </c>
      <c r="I174" s="217" t="str">
        <f>_xlfn.IFNA(VALUE(INDEX(Producer!$B:$B,MATCH($D174,Producer!$A:$A,0)))*12,"")</f>
        <v/>
      </c>
      <c r="J174" s="146" t="str">
        <f>_xlfn.IFNA(IF(C174="Residential",IF(VALUE(INDEX(Producer!$B:$B,MATCH($D174,Producer!$A:$A,0)))&lt;5,Constants!$C$10,""),IF(VALUE(INDEX(Producer!$B:$B,MATCH($D174,Producer!$A:$A,0)))&lt;5,Constants!$C$11,"")),"")</f>
        <v/>
      </c>
      <c r="K174" s="216" t="str">
        <f>_xlfn.IFNA(IF(($I174)&lt;60,DATE(YEAR(H174)+(5-VALUE(INDEX(Producer!$B:$B,MATCH($D174,Producer!$A:$A,0)))),MONTH(H174),DAY(H174)),""),"")</f>
        <v/>
      </c>
      <c r="L174" s="153" t="str">
        <f t="shared" si="58"/>
        <v/>
      </c>
      <c r="M174" s="146"/>
      <c r="N174" s="148"/>
      <c r="O174" s="148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 t="str">
        <f>IF(D174="","",IF(C174="Residential",Constants!$B$10,Constants!$B$11))</f>
        <v/>
      </c>
      <c r="AL174" s="146" t="str">
        <f t="shared" si="59"/>
        <v/>
      </c>
      <c r="AM174" s="206" t="str">
        <f t="shared" si="60"/>
        <v/>
      </c>
      <c r="AN174" s="146" t="str">
        <f t="shared" si="61"/>
        <v/>
      </c>
      <c r="AO174" s="149" t="str">
        <f t="shared" si="62"/>
        <v/>
      </c>
      <c r="AP174" s="150" t="str">
        <f t="shared" si="63"/>
        <v/>
      </c>
      <c r="AQ174" s="146" t="str">
        <f>IFERROR(_xlfn.IFNA(IF($BA174="No",0,IF(INDEX(Constants!B:B,MATCH(($I174/12),Constants!$A:$A,0))=0,0,INDEX(Constants!B:B,MATCH(($I174/12),Constants!$A:$A,0)))),0),"")</f>
        <v/>
      </c>
      <c r="AR174" s="146" t="str">
        <f>IFERROR(_xlfn.IFNA(IF($BA174="No",0,IF(INDEX(Constants!C:C,MATCH(($I174/12),Constants!$A:$A,0))=0,0,INDEX(Constants!C:C,MATCH(($I174/12),Constants!$A:$A,0)))),0),"")</f>
        <v/>
      </c>
      <c r="AS174" s="146" t="str">
        <f>IFERROR(_xlfn.IFNA(IF($BA174="No",0,IF(INDEX(Constants!D:D,MATCH(($I174/12),Constants!$A:$A,0))=0,0,INDEX(Constants!D:D,MATCH(($I174/12),Constants!$A:$A,0)))),0),"")</f>
        <v/>
      </c>
      <c r="AT174" s="146" t="str">
        <f>IFERROR(_xlfn.IFNA(IF($BA174="No",0,IF(INDEX(Constants!E:E,MATCH(($I174/12),Constants!$A:$A,0))=0,0,INDEX(Constants!E:E,MATCH(($I174/12),Constants!$A:$A,0)))),0),"")</f>
        <v/>
      </c>
      <c r="AU174" s="146" t="str">
        <f>IFERROR(_xlfn.IFNA(IF($BA174="No",0,IF(INDEX(Constants!F:F,MATCH(($I174/12),Constants!$A:$A,0))=0,0,INDEX(Constants!F:F,MATCH(($I174/12),Constants!$A:$A,0)))),0),"")</f>
        <v/>
      </c>
      <c r="AV174" s="146" t="str">
        <f>IFERROR(_xlfn.IFNA(IF($BA174="No",0,IF(INDEX(Constants!G:G,MATCH(($I174/12),Constants!$A:$A,0))=0,0,INDEX(Constants!G:G,MATCH(($I174/12),Constants!$A:$A,0)))),0),"")</f>
        <v/>
      </c>
      <c r="AW174" s="146" t="str">
        <f>IFERROR(_xlfn.IFNA(IF($BA174="No",0,IF(INDEX(Constants!H:H,MATCH(($I174/12),Constants!$A:$A,0))=0,0,INDEX(Constants!H:H,MATCH(($I174/12),Constants!$A:$A,0)))),0),"")</f>
        <v/>
      </c>
      <c r="AX174" s="146" t="str">
        <f>IFERROR(_xlfn.IFNA(IF($BA174="No",0,IF(INDEX(Constants!I:I,MATCH(($I174/12),Constants!$A:$A,0))=0,0,INDEX(Constants!I:I,MATCH(($I174/12),Constants!$A:$A,0)))),0),"")</f>
        <v/>
      </c>
      <c r="AY174" s="146" t="str">
        <f>IFERROR(_xlfn.IFNA(IF($BA174="No",0,IF(INDEX(Constants!J:J,MATCH(($I174/12),Constants!$A:$A,0))=0,0,INDEX(Constants!J:J,MATCH(($I174/12),Constants!$A:$A,0)))),0),"")</f>
        <v/>
      </c>
      <c r="AZ174" s="146" t="str">
        <f>IFERROR(_xlfn.IFNA(IF($BA174="No",0,IF(INDEX(Constants!K:K,MATCH(($I174/12),Constants!$A:$A,0))=0,0,INDEX(Constants!K:K,MATCH(($I174/12),Constants!$A:$A,0)))),0),"")</f>
        <v/>
      </c>
      <c r="BA174" s="147" t="str">
        <f>_xlfn.IFNA(INDEX(Producer!$L:$L,MATCH($D174,Producer!$A:$A,0)),"")</f>
        <v/>
      </c>
      <c r="BB174" s="146" t="str">
        <f>IFERROR(IF(AQ174=0,"",IF(($I174/12)=15,_xlfn.CONCAT(Constants!$N$7,TEXT(DATE(YEAR(H174)-(($I174/12)-3),MONTH(H174),DAY(H174)),"dd/mm/yyyy"),", ",Constants!$P$7,TEXT(DATE(YEAR(H174)-(($I174/12)-8),MONTH(H174),DAY(H174)),"dd/mm/yyyy"),", ",Constants!$T$7,TEXT(DATE(YEAR(H174)-(($I174/12)-11),MONTH(H174),DAY(H174)),"dd/mm/yyyy"),", ",Constants!$V$7,TEXT(DATE(YEAR(H174)-(($I174/12)-13),MONTH(H174),DAY(H174)),"dd/mm/yyyy"),", ",Constants!$W$7,TEXT($H174,"dd/mm/yyyy")),IF(($I174/12)=10,_xlfn.CONCAT(Constants!$N$6,TEXT(DATE(YEAR(H174)-(($I174/12)-2),MONTH(H174),DAY(H174)),"dd/mm/yyyy"),", ",Constants!$P$6,TEXT(DATE(YEAR(H174)-(($I174/12)-6),MONTH(H174),DAY(H174)),"dd/mm/yyyy"),", ",Constants!$T$6,TEXT(DATE(YEAR(H174)-(($I174/12)-8),MONTH(H174),DAY(H174)),"dd/mm/yyyy"),", ",Constants!$V$6,TEXT(DATE(YEAR(H174)-(($I174/12)-9),MONTH(H174),DAY(H174)),"dd/mm/yyyy"),", ",Constants!$W$6,TEXT($H174,"dd/mm/yyyy")),IF(($I174/12)=5,_xlfn.CONCAT(Constants!$N$5,TEXT(DATE(YEAR(H174)-(($I174/12)-1),MONTH(H174),DAY(H174)),"dd/mm/yyyy"),", ",Constants!$O$5,TEXT(DATE(YEAR(H174)-(($I174/12)-2),MONTH(H174),DAY(H174)),"dd/mm/yyyy"),", ",Constants!$P$5,TEXT(DATE(YEAR(H174)-(($I174/12)-3),MONTH(H174),DAY(H174)),"dd/mm/yyyy"),", ",Constants!$Q$5,TEXT(DATE(YEAR(H174)-(($I174/12)-4),MONTH(H174),DAY(H174)),"dd/mm/yyyy"),", ",Constants!$R$5,TEXT($H174,"dd/mm/yyyy")),IF(($I174/12)=3,_xlfn.CONCAT(Constants!$N$4,TEXT(DATE(YEAR(H174)-(($I174/12)-1),MONTH(H174),DAY(H174)),"dd/mm/yyyy"),", ",Constants!$O$4,TEXT(DATE(YEAR(H174)-(($I174/12)-2),MONTH(H174),DAY(H174)),"dd/mm/yyyy"),", ",Constants!$P$4,TEXT($H174,"dd/mm/yyyy")),IF(($I174/12)=2,_xlfn.CONCAT(Constants!$N$3,TEXT(DATE(YEAR(H174)-(($I174/12)-1),MONTH(H174),DAY(H174)),"dd/mm/yyyy"),", ",Constants!$O$3,TEXT($H174,"dd/mm/yyyy")),IF(($I174/12)=1,_xlfn.CONCAT(Constants!$N$2,TEXT($H174,"dd/mm/yyyy")),"Update Constants"))))))),"")</f>
        <v/>
      </c>
      <c r="BC174" s="147" t="str">
        <f>_xlfn.IFNA(VALUE(INDEX(Producer!$K:$K,MATCH($D174,Producer!$A:$A,0))),"")</f>
        <v/>
      </c>
      <c r="BD174" s="147" t="str">
        <f>_xlfn.IFNA(INDEX(Producer!$I:$I,MATCH($D174,Producer!$A:$A,0)),"")</f>
        <v/>
      </c>
      <c r="BE174" s="147" t="str">
        <f t="shared" si="64"/>
        <v/>
      </c>
      <c r="BF174" s="147"/>
      <c r="BG174" s="147"/>
      <c r="BH174" s="151" t="str">
        <f>_xlfn.IFNA(INDEX(Constants!$B:$B,MATCH(BC174,Constants!A:A,0)),"")</f>
        <v/>
      </c>
      <c r="BI174" s="147" t="str">
        <f>IF(LEFT(B174,15)="Limited Company",Constants!$D$16,IFERROR(_xlfn.IFNA(IF(C174="Residential",IF(BK174&lt;75,INDEX(Constants!$B:$B,MATCH(VALUE(60)/100,Constants!$A:$A,0)),INDEX(Constants!$B:$B,MATCH(VALUE(BK174)/100,Constants!$A:$A,0))),IF(BK174&lt;60,INDEX(Constants!$C:$C,MATCH(VALUE(60)/100,Constants!$A:$A,0)),INDEX(Constants!$C:$C,MATCH(VALUE(BK174)/100,Constants!$A:$A,0)))),""),""))</f>
        <v/>
      </c>
      <c r="BJ174" s="147" t="str">
        <f t="shared" si="65"/>
        <v/>
      </c>
      <c r="BK174" s="147" t="str">
        <f>_xlfn.IFNA(VALUE(INDEX(Producer!$E:$E,MATCH($D174,Producer!$A:$A,0)))*100,"")</f>
        <v/>
      </c>
      <c r="BL174" s="146" t="str">
        <f>_xlfn.IFNA(IF(IFERROR(FIND("Part &amp; Part",B174),-10)&gt;0,"PP",IF(OR(LEFT(B174,25)="Residential Interest Only",INDEX(Producer!$P:$P,MATCH($D174,Producer!$A:$A,0))="IO",INDEX(Producer!$P:$P,MATCH($D174,Producer!$A:$A,0))="Retirement Interest Only"),"IO",IF($C174="BuyToLet","CI, IO","CI"))),"")</f>
        <v/>
      </c>
      <c r="BM174" s="152" t="str">
        <f>_xlfn.IFNA(IF(BL174="IO",100%,IF(AND(INDEX(Producer!$P:$P,MATCH($D174,Producer!$A:$A,0))="Residential Interest Only Part &amp; Part",BK174=75),80%,IF(C174="BuyToLet",100%,IF(BL174="Interest Only",100%,IF(AND(INDEX(Producer!$P:$P,MATCH($D174,Producer!$A:$A,0))="Residential Interest Only Part &amp; Part",BK174=60),100%,""))))),"")</f>
        <v/>
      </c>
      <c r="BN174" s="218" t="str">
        <f>_xlfn.IFNA(IF(VALUE(INDEX(Producer!$H:$H,MATCH($D174,Producer!$A:$A,0)))=0,"",VALUE(INDEX(Producer!$H:$H,MATCH($D174,Producer!$A:$A,0)))),"")</f>
        <v/>
      </c>
      <c r="BO174" s="153"/>
      <c r="BP174" s="153"/>
      <c r="BQ174" s="219" t="str">
        <f t="shared" si="66"/>
        <v/>
      </c>
      <c r="BR174" s="146"/>
      <c r="BS174" s="146"/>
      <c r="BT174" s="146"/>
      <c r="BU174" s="146"/>
      <c r="BV174" s="219" t="str">
        <f t="shared" si="67"/>
        <v/>
      </c>
      <c r="BW174" s="146"/>
      <c r="BX174" s="146"/>
      <c r="BY174" s="146" t="str">
        <f t="shared" si="68"/>
        <v/>
      </c>
      <c r="BZ174" s="146" t="str">
        <f t="shared" si="69"/>
        <v/>
      </c>
      <c r="CA174" s="146" t="str">
        <f t="shared" si="70"/>
        <v/>
      </c>
      <c r="CB174" s="146" t="str">
        <f t="shared" si="71"/>
        <v/>
      </c>
      <c r="CC174" s="146" t="str">
        <f>_xlfn.IFNA(IF(INDEX(Producer!$P:$P,MATCH($D174,Producer!$A:$A,0))="Help to Buy","Only available","No"),"")</f>
        <v/>
      </c>
      <c r="CD174" s="146" t="str">
        <f>_xlfn.IFNA(IF(INDEX(Producer!$P:$P,MATCH($D174,Producer!$A:$A,0))="Shared Ownership","Only available","No"),"")</f>
        <v/>
      </c>
      <c r="CE174" s="146" t="str">
        <f>_xlfn.IFNA(IF(INDEX(Producer!$P:$P,MATCH($D174,Producer!$A:$A,0))="Right to Buy","Only available","No"),"")</f>
        <v/>
      </c>
      <c r="CF174" s="146" t="str">
        <f t="shared" si="72"/>
        <v/>
      </c>
      <c r="CG174" s="146" t="str">
        <f>_xlfn.IFNA(IF(INDEX(Producer!$P:$P,MATCH($D174,Producer!$A:$A,0))="Retirement Interest Only","Only available","No"),"")</f>
        <v/>
      </c>
      <c r="CH174" s="146" t="str">
        <f t="shared" si="73"/>
        <v/>
      </c>
      <c r="CI174" s="146" t="str">
        <f>_xlfn.IFNA(IF(INDEX(Producer!$P:$P,MATCH($D174,Producer!$A:$A,0))="Intermediary Holiday Let","Only available","No"),"")</f>
        <v/>
      </c>
      <c r="CJ174" s="146" t="str">
        <f t="shared" si="74"/>
        <v/>
      </c>
      <c r="CK174" s="146" t="str">
        <f>_xlfn.IFNA(IF(OR(INDEX(Producer!$P:$P,MATCH($D174,Producer!$A:$A,0))="Intermediary Small HMO",INDEX(Producer!$P:$P,MATCH($D174,Producer!$A:$A,0))="Intermediary Large HMO"),"Only available","No"),"")</f>
        <v/>
      </c>
      <c r="CL174" s="146" t="str">
        <f t="shared" si="75"/>
        <v/>
      </c>
      <c r="CM174" s="146" t="str">
        <f t="shared" si="76"/>
        <v/>
      </c>
      <c r="CN174" s="146" t="str">
        <f t="shared" si="77"/>
        <v/>
      </c>
      <c r="CO174" s="146" t="str">
        <f t="shared" si="78"/>
        <v/>
      </c>
      <c r="CP174" s="146" t="str">
        <f t="shared" si="79"/>
        <v/>
      </c>
      <c r="CQ174" s="146" t="str">
        <f t="shared" si="80"/>
        <v/>
      </c>
      <c r="CR174" s="146" t="str">
        <f t="shared" si="81"/>
        <v/>
      </c>
      <c r="CS174" s="146" t="str">
        <f t="shared" si="82"/>
        <v/>
      </c>
      <c r="CT174" s="146" t="str">
        <f t="shared" si="83"/>
        <v/>
      </c>
      <c r="CU174" s="146"/>
    </row>
    <row r="175" spans="1:99" ht="16.399999999999999" customHeight="1" x14ac:dyDescent="0.35">
      <c r="A175" s="145" t="str">
        <f t="shared" si="56"/>
        <v/>
      </c>
      <c r="B175" s="145" t="str">
        <f>_xlfn.IFNA(_xlfn.CONCAT(INDEX(Producer!$P:$P,MATCH($D175,Producer!$A:$A,0))," ",IF(INDEX(Producer!$N:$N,MATCH($D175,Producer!$A:$A,0))="Yes","Green ",""),IF(AND(INDEX(Producer!$L:$L,MATCH($D175,Producer!$A:$A,0))="No",INDEX(Producer!$C:$C,MATCH($D175,Producer!$A:$A,0))="Fixed"),"Flexit ",""),INDEX(Producer!$B:$B,MATCH($D175,Producer!$A:$A,0))," Year ",INDEX(Producer!$C:$C,MATCH($D175,Producer!$A:$A,0))," ",VALUE(INDEX(Producer!$E:$E,MATCH($D175,Producer!$A:$A,0)))*100,"% LTV",IF(INDEX(Producer!$N:$N,MATCH($D175,Producer!$A:$A,0))="Yes"," (EPC A-C)","")," - ",IF(INDEX(Producer!$D:$D,MATCH($D175,Producer!$A:$A,0))="DLY","Daily","Annual")),"")</f>
        <v/>
      </c>
      <c r="C175" s="146" t="str">
        <f>_xlfn.IFNA(INDEX(Producer!$Q:$Q,MATCH($D175,Producer!$A:$A,0)),"")</f>
        <v/>
      </c>
      <c r="D175" s="146" t="str">
        <f>IFERROR(VALUE(MID(Producer!$R$2,IF($D174="",1/0,FIND(_xlfn.CONCAT($D173,$D174),Producer!$R$2)+10),5)),"")</f>
        <v/>
      </c>
      <c r="E175" s="146" t="str">
        <f t="shared" si="57"/>
        <v/>
      </c>
      <c r="F175" s="146"/>
      <c r="G175" s="147" t="str">
        <f>_xlfn.IFNA(VALUE(INDEX(Producer!$F:$F,MATCH($D175,Producer!$A:$A,0)))*100,"")</f>
        <v/>
      </c>
      <c r="H175" s="216" t="str">
        <f>_xlfn.IFNA(IFERROR(DATEVALUE(INDEX(Producer!$M:$M,MATCH($D175,Producer!$A:$A,0))),(INDEX(Producer!$M:$M,MATCH($D175,Producer!$A:$A,0)))),"")</f>
        <v/>
      </c>
      <c r="I175" s="217" t="str">
        <f>_xlfn.IFNA(VALUE(INDEX(Producer!$B:$B,MATCH($D175,Producer!$A:$A,0)))*12,"")</f>
        <v/>
      </c>
      <c r="J175" s="146" t="str">
        <f>_xlfn.IFNA(IF(C175="Residential",IF(VALUE(INDEX(Producer!$B:$B,MATCH($D175,Producer!$A:$A,0)))&lt;5,Constants!$C$10,""),IF(VALUE(INDEX(Producer!$B:$B,MATCH($D175,Producer!$A:$A,0)))&lt;5,Constants!$C$11,"")),"")</f>
        <v/>
      </c>
      <c r="K175" s="216" t="str">
        <f>_xlfn.IFNA(IF(($I175)&lt;60,DATE(YEAR(H175)+(5-VALUE(INDEX(Producer!$B:$B,MATCH($D175,Producer!$A:$A,0)))),MONTH(H175),DAY(H175)),""),"")</f>
        <v/>
      </c>
      <c r="L175" s="153" t="str">
        <f t="shared" si="58"/>
        <v/>
      </c>
      <c r="M175" s="146"/>
      <c r="N175" s="148"/>
      <c r="O175" s="148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 t="str">
        <f>IF(D175="","",IF(C175="Residential",Constants!$B$10,Constants!$B$11))</f>
        <v/>
      </c>
      <c r="AL175" s="146" t="str">
        <f t="shared" si="59"/>
        <v/>
      </c>
      <c r="AM175" s="206" t="str">
        <f t="shared" si="60"/>
        <v/>
      </c>
      <c r="AN175" s="146" t="str">
        <f t="shared" si="61"/>
        <v/>
      </c>
      <c r="AO175" s="149" t="str">
        <f t="shared" si="62"/>
        <v/>
      </c>
      <c r="AP175" s="150" t="str">
        <f t="shared" si="63"/>
        <v/>
      </c>
      <c r="AQ175" s="146" t="str">
        <f>IFERROR(_xlfn.IFNA(IF($BA175="No",0,IF(INDEX(Constants!B:B,MATCH(($I175/12),Constants!$A:$A,0))=0,0,INDEX(Constants!B:B,MATCH(($I175/12),Constants!$A:$A,0)))),0),"")</f>
        <v/>
      </c>
      <c r="AR175" s="146" t="str">
        <f>IFERROR(_xlfn.IFNA(IF($BA175="No",0,IF(INDEX(Constants!C:C,MATCH(($I175/12),Constants!$A:$A,0))=0,0,INDEX(Constants!C:C,MATCH(($I175/12),Constants!$A:$A,0)))),0),"")</f>
        <v/>
      </c>
      <c r="AS175" s="146" t="str">
        <f>IFERROR(_xlfn.IFNA(IF($BA175="No",0,IF(INDEX(Constants!D:D,MATCH(($I175/12),Constants!$A:$A,0))=0,0,INDEX(Constants!D:D,MATCH(($I175/12),Constants!$A:$A,0)))),0),"")</f>
        <v/>
      </c>
      <c r="AT175" s="146" t="str">
        <f>IFERROR(_xlfn.IFNA(IF($BA175="No",0,IF(INDEX(Constants!E:E,MATCH(($I175/12),Constants!$A:$A,0))=0,0,INDEX(Constants!E:E,MATCH(($I175/12),Constants!$A:$A,0)))),0),"")</f>
        <v/>
      </c>
      <c r="AU175" s="146" t="str">
        <f>IFERROR(_xlfn.IFNA(IF($BA175="No",0,IF(INDEX(Constants!F:F,MATCH(($I175/12),Constants!$A:$A,0))=0,0,INDEX(Constants!F:F,MATCH(($I175/12),Constants!$A:$A,0)))),0),"")</f>
        <v/>
      </c>
      <c r="AV175" s="146" t="str">
        <f>IFERROR(_xlfn.IFNA(IF($BA175="No",0,IF(INDEX(Constants!G:G,MATCH(($I175/12),Constants!$A:$A,0))=0,0,INDEX(Constants!G:G,MATCH(($I175/12),Constants!$A:$A,0)))),0),"")</f>
        <v/>
      </c>
      <c r="AW175" s="146" t="str">
        <f>IFERROR(_xlfn.IFNA(IF($BA175="No",0,IF(INDEX(Constants!H:H,MATCH(($I175/12),Constants!$A:$A,0))=0,0,INDEX(Constants!H:H,MATCH(($I175/12),Constants!$A:$A,0)))),0),"")</f>
        <v/>
      </c>
      <c r="AX175" s="146" t="str">
        <f>IFERROR(_xlfn.IFNA(IF($BA175="No",0,IF(INDEX(Constants!I:I,MATCH(($I175/12),Constants!$A:$A,0))=0,0,INDEX(Constants!I:I,MATCH(($I175/12),Constants!$A:$A,0)))),0),"")</f>
        <v/>
      </c>
      <c r="AY175" s="146" t="str">
        <f>IFERROR(_xlfn.IFNA(IF($BA175="No",0,IF(INDEX(Constants!J:J,MATCH(($I175/12),Constants!$A:$A,0))=0,0,INDEX(Constants!J:J,MATCH(($I175/12),Constants!$A:$A,0)))),0),"")</f>
        <v/>
      </c>
      <c r="AZ175" s="146" t="str">
        <f>IFERROR(_xlfn.IFNA(IF($BA175="No",0,IF(INDEX(Constants!K:K,MATCH(($I175/12),Constants!$A:$A,0))=0,0,INDEX(Constants!K:K,MATCH(($I175/12),Constants!$A:$A,0)))),0),"")</f>
        <v/>
      </c>
      <c r="BA175" s="147" t="str">
        <f>_xlfn.IFNA(INDEX(Producer!$L:$L,MATCH($D175,Producer!$A:$A,0)),"")</f>
        <v/>
      </c>
      <c r="BB175" s="146" t="str">
        <f>IFERROR(IF(AQ175=0,"",IF(($I175/12)=15,_xlfn.CONCAT(Constants!$N$7,TEXT(DATE(YEAR(H175)-(($I175/12)-3),MONTH(H175),DAY(H175)),"dd/mm/yyyy"),", ",Constants!$P$7,TEXT(DATE(YEAR(H175)-(($I175/12)-8),MONTH(H175),DAY(H175)),"dd/mm/yyyy"),", ",Constants!$T$7,TEXT(DATE(YEAR(H175)-(($I175/12)-11),MONTH(H175),DAY(H175)),"dd/mm/yyyy"),", ",Constants!$V$7,TEXT(DATE(YEAR(H175)-(($I175/12)-13),MONTH(H175),DAY(H175)),"dd/mm/yyyy"),", ",Constants!$W$7,TEXT($H175,"dd/mm/yyyy")),IF(($I175/12)=10,_xlfn.CONCAT(Constants!$N$6,TEXT(DATE(YEAR(H175)-(($I175/12)-2),MONTH(H175),DAY(H175)),"dd/mm/yyyy"),", ",Constants!$P$6,TEXT(DATE(YEAR(H175)-(($I175/12)-6),MONTH(H175),DAY(H175)),"dd/mm/yyyy"),", ",Constants!$T$6,TEXT(DATE(YEAR(H175)-(($I175/12)-8),MONTH(H175),DAY(H175)),"dd/mm/yyyy"),", ",Constants!$V$6,TEXT(DATE(YEAR(H175)-(($I175/12)-9),MONTH(H175),DAY(H175)),"dd/mm/yyyy"),", ",Constants!$W$6,TEXT($H175,"dd/mm/yyyy")),IF(($I175/12)=5,_xlfn.CONCAT(Constants!$N$5,TEXT(DATE(YEAR(H175)-(($I175/12)-1),MONTH(H175),DAY(H175)),"dd/mm/yyyy"),", ",Constants!$O$5,TEXT(DATE(YEAR(H175)-(($I175/12)-2),MONTH(H175),DAY(H175)),"dd/mm/yyyy"),", ",Constants!$P$5,TEXT(DATE(YEAR(H175)-(($I175/12)-3),MONTH(H175),DAY(H175)),"dd/mm/yyyy"),", ",Constants!$Q$5,TEXT(DATE(YEAR(H175)-(($I175/12)-4),MONTH(H175),DAY(H175)),"dd/mm/yyyy"),", ",Constants!$R$5,TEXT($H175,"dd/mm/yyyy")),IF(($I175/12)=3,_xlfn.CONCAT(Constants!$N$4,TEXT(DATE(YEAR(H175)-(($I175/12)-1),MONTH(H175),DAY(H175)),"dd/mm/yyyy"),", ",Constants!$O$4,TEXT(DATE(YEAR(H175)-(($I175/12)-2),MONTH(H175),DAY(H175)),"dd/mm/yyyy"),", ",Constants!$P$4,TEXT($H175,"dd/mm/yyyy")),IF(($I175/12)=2,_xlfn.CONCAT(Constants!$N$3,TEXT(DATE(YEAR(H175)-(($I175/12)-1),MONTH(H175),DAY(H175)),"dd/mm/yyyy"),", ",Constants!$O$3,TEXT($H175,"dd/mm/yyyy")),IF(($I175/12)=1,_xlfn.CONCAT(Constants!$N$2,TEXT($H175,"dd/mm/yyyy")),"Update Constants"))))))),"")</f>
        <v/>
      </c>
      <c r="BC175" s="147" t="str">
        <f>_xlfn.IFNA(VALUE(INDEX(Producer!$K:$K,MATCH($D175,Producer!$A:$A,0))),"")</f>
        <v/>
      </c>
      <c r="BD175" s="147" t="str">
        <f>_xlfn.IFNA(INDEX(Producer!$I:$I,MATCH($D175,Producer!$A:$A,0)),"")</f>
        <v/>
      </c>
      <c r="BE175" s="147" t="str">
        <f t="shared" si="64"/>
        <v/>
      </c>
      <c r="BF175" s="147"/>
      <c r="BG175" s="147"/>
      <c r="BH175" s="151" t="str">
        <f>_xlfn.IFNA(INDEX(Constants!$B:$B,MATCH(BC175,Constants!A:A,0)),"")</f>
        <v/>
      </c>
      <c r="BI175" s="147" t="str">
        <f>IF(LEFT(B175,15)="Limited Company",Constants!$D$16,IFERROR(_xlfn.IFNA(IF(C175="Residential",IF(BK175&lt;75,INDEX(Constants!$B:$B,MATCH(VALUE(60)/100,Constants!$A:$A,0)),INDEX(Constants!$B:$B,MATCH(VALUE(BK175)/100,Constants!$A:$A,0))),IF(BK175&lt;60,INDEX(Constants!$C:$C,MATCH(VALUE(60)/100,Constants!$A:$A,0)),INDEX(Constants!$C:$C,MATCH(VALUE(BK175)/100,Constants!$A:$A,0)))),""),""))</f>
        <v/>
      </c>
      <c r="BJ175" s="147" t="str">
        <f t="shared" si="65"/>
        <v/>
      </c>
      <c r="BK175" s="147" t="str">
        <f>_xlfn.IFNA(VALUE(INDEX(Producer!$E:$E,MATCH($D175,Producer!$A:$A,0)))*100,"")</f>
        <v/>
      </c>
      <c r="BL175" s="146" t="str">
        <f>_xlfn.IFNA(IF(IFERROR(FIND("Part &amp; Part",B175),-10)&gt;0,"PP",IF(OR(LEFT(B175,25)="Residential Interest Only",INDEX(Producer!$P:$P,MATCH($D175,Producer!$A:$A,0))="IO",INDEX(Producer!$P:$P,MATCH($D175,Producer!$A:$A,0))="Retirement Interest Only"),"IO",IF($C175="BuyToLet","CI, IO","CI"))),"")</f>
        <v/>
      </c>
      <c r="BM175" s="152" t="str">
        <f>_xlfn.IFNA(IF(BL175="IO",100%,IF(AND(INDEX(Producer!$P:$P,MATCH($D175,Producer!$A:$A,0))="Residential Interest Only Part &amp; Part",BK175=75),80%,IF(C175="BuyToLet",100%,IF(BL175="Interest Only",100%,IF(AND(INDEX(Producer!$P:$P,MATCH($D175,Producer!$A:$A,0))="Residential Interest Only Part &amp; Part",BK175=60),100%,""))))),"")</f>
        <v/>
      </c>
      <c r="BN175" s="218" t="str">
        <f>_xlfn.IFNA(IF(VALUE(INDEX(Producer!$H:$H,MATCH($D175,Producer!$A:$A,0)))=0,"",VALUE(INDEX(Producer!$H:$H,MATCH($D175,Producer!$A:$A,0)))),"")</f>
        <v/>
      </c>
      <c r="BO175" s="153"/>
      <c r="BP175" s="153"/>
      <c r="BQ175" s="219" t="str">
        <f t="shared" si="66"/>
        <v/>
      </c>
      <c r="BR175" s="146"/>
      <c r="BS175" s="146"/>
      <c r="BT175" s="146"/>
      <c r="BU175" s="146"/>
      <c r="BV175" s="219" t="str">
        <f t="shared" si="67"/>
        <v/>
      </c>
      <c r="BW175" s="146"/>
      <c r="BX175" s="146"/>
      <c r="BY175" s="146" t="str">
        <f t="shared" si="68"/>
        <v/>
      </c>
      <c r="BZ175" s="146" t="str">
        <f t="shared" si="69"/>
        <v/>
      </c>
      <c r="CA175" s="146" t="str">
        <f t="shared" si="70"/>
        <v/>
      </c>
      <c r="CB175" s="146" t="str">
        <f t="shared" si="71"/>
        <v/>
      </c>
      <c r="CC175" s="146" t="str">
        <f>_xlfn.IFNA(IF(INDEX(Producer!$P:$P,MATCH($D175,Producer!$A:$A,0))="Help to Buy","Only available","No"),"")</f>
        <v/>
      </c>
      <c r="CD175" s="146" t="str">
        <f>_xlfn.IFNA(IF(INDEX(Producer!$P:$P,MATCH($D175,Producer!$A:$A,0))="Shared Ownership","Only available","No"),"")</f>
        <v/>
      </c>
      <c r="CE175" s="146" t="str">
        <f>_xlfn.IFNA(IF(INDEX(Producer!$P:$P,MATCH($D175,Producer!$A:$A,0))="Right to Buy","Only available","No"),"")</f>
        <v/>
      </c>
      <c r="CF175" s="146" t="str">
        <f t="shared" si="72"/>
        <v/>
      </c>
      <c r="CG175" s="146" t="str">
        <f>_xlfn.IFNA(IF(INDEX(Producer!$P:$P,MATCH($D175,Producer!$A:$A,0))="Retirement Interest Only","Only available","No"),"")</f>
        <v/>
      </c>
      <c r="CH175" s="146" t="str">
        <f t="shared" si="73"/>
        <v/>
      </c>
      <c r="CI175" s="146" t="str">
        <f>_xlfn.IFNA(IF(INDEX(Producer!$P:$P,MATCH($D175,Producer!$A:$A,0))="Intermediary Holiday Let","Only available","No"),"")</f>
        <v/>
      </c>
      <c r="CJ175" s="146" t="str">
        <f t="shared" si="74"/>
        <v/>
      </c>
      <c r="CK175" s="146" t="str">
        <f>_xlfn.IFNA(IF(OR(INDEX(Producer!$P:$P,MATCH($D175,Producer!$A:$A,0))="Intermediary Small HMO",INDEX(Producer!$P:$P,MATCH($D175,Producer!$A:$A,0))="Intermediary Large HMO"),"Only available","No"),"")</f>
        <v/>
      </c>
      <c r="CL175" s="146" t="str">
        <f t="shared" si="75"/>
        <v/>
      </c>
      <c r="CM175" s="146" t="str">
        <f t="shared" si="76"/>
        <v/>
      </c>
      <c r="CN175" s="146" t="str">
        <f t="shared" si="77"/>
        <v/>
      </c>
      <c r="CO175" s="146" t="str">
        <f t="shared" si="78"/>
        <v/>
      </c>
      <c r="CP175" s="146" t="str">
        <f t="shared" si="79"/>
        <v/>
      </c>
      <c r="CQ175" s="146" t="str">
        <f t="shared" si="80"/>
        <v/>
      </c>
      <c r="CR175" s="146" t="str">
        <f t="shared" si="81"/>
        <v/>
      </c>
      <c r="CS175" s="146" t="str">
        <f t="shared" si="82"/>
        <v/>
      </c>
      <c r="CT175" s="146" t="str">
        <f t="shared" si="83"/>
        <v/>
      </c>
      <c r="CU175" s="146"/>
    </row>
    <row r="176" spans="1:99" ht="16.399999999999999" customHeight="1" x14ac:dyDescent="0.35">
      <c r="A176" s="145" t="str">
        <f t="shared" si="56"/>
        <v/>
      </c>
      <c r="B176" s="145" t="str">
        <f>_xlfn.IFNA(_xlfn.CONCAT(INDEX(Producer!$P:$P,MATCH($D176,Producer!$A:$A,0))," ",IF(INDEX(Producer!$N:$N,MATCH($D176,Producer!$A:$A,0))="Yes","Green ",""),IF(AND(INDEX(Producer!$L:$L,MATCH($D176,Producer!$A:$A,0))="No",INDEX(Producer!$C:$C,MATCH($D176,Producer!$A:$A,0))="Fixed"),"Flexit ",""),INDEX(Producer!$B:$B,MATCH($D176,Producer!$A:$A,0))," Year ",INDEX(Producer!$C:$C,MATCH($D176,Producer!$A:$A,0))," ",VALUE(INDEX(Producer!$E:$E,MATCH($D176,Producer!$A:$A,0)))*100,"% LTV",IF(INDEX(Producer!$N:$N,MATCH($D176,Producer!$A:$A,0))="Yes"," (EPC A-C)","")," - ",IF(INDEX(Producer!$D:$D,MATCH($D176,Producer!$A:$A,0))="DLY","Daily","Annual")),"")</f>
        <v/>
      </c>
      <c r="C176" s="146" t="str">
        <f>_xlfn.IFNA(INDEX(Producer!$Q:$Q,MATCH($D176,Producer!$A:$A,0)),"")</f>
        <v/>
      </c>
      <c r="D176" s="146" t="str">
        <f>IFERROR(VALUE(MID(Producer!$R$2,IF($D175="",1/0,FIND(_xlfn.CONCAT($D174,$D175),Producer!$R$2)+10),5)),"")</f>
        <v/>
      </c>
      <c r="E176" s="146" t="str">
        <f t="shared" si="57"/>
        <v/>
      </c>
      <c r="F176" s="146"/>
      <c r="G176" s="147" t="str">
        <f>_xlfn.IFNA(VALUE(INDEX(Producer!$F:$F,MATCH($D176,Producer!$A:$A,0)))*100,"")</f>
        <v/>
      </c>
      <c r="H176" s="216" t="str">
        <f>_xlfn.IFNA(IFERROR(DATEVALUE(INDEX(Producer!$M:$M,MATCH($D176,Producer!$A:$A,0))),(INDEX(Producer!$M:$M,MATCH($D176,Producer!$A:$A,0)))),"")</f>
        <v/>
      </c>
      <c r="I176" s="217" t="str">
        <f>_xlfn.IFNA(VALUE(INDEX(Producer!$B:$B,MATCH($D176,Producer!$A:$A,0)))*12,"")</f>
        <v/>
      </c>
      <c r="J176" s="146" t="str">
        <f>_xlfn.IFNA(IF(C176="Residential",IF(VALUE(INDEX(Producer!$B:$B,MATCH($D176,Producer!$A:$A,0)))&lt;5,Constants!$C$10,""),IF(VALUE(INDEX(Producer!$B:$B,MATCH($D176,Producer!$A:$A,0)))&lt;5,Constants!$C$11,"")),"")</f>
        <v/>
      </c>
      <c r="K176" s="216" t="str">
        <f>_xlfn.IFNA(IF(($I176)&lt;60,DATE(YEAR(H176)+(5-VALUE(INDEX(Producer!$B:$B,MATCH($D176,Producer!$A:$A,0)))),MONTH(H176),DAY(H176)),""),"")</f>
        <v/>
      </c>
      <c r="L176" s="153" t="str">
        <f t="shared" si="58"/>
        <v/>
      </c>
      <c r="M176" s="146"/>
      <c r="N176" s="148"/>
      <c r="O176" s="148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 t="str">
        <f>IF(D176="","",IF(C176="Residential",Constants!$B$10,Constants!$B$11))</f>
        <v/>
      </c>
      <c r="AL176" s="146" t="str">
        <f t="shared" si="59"/>
        <v/>
      </c>
      <c r="AM176" s="206" t="str">
        <f t="shared" si="60"/>
        <v/>
      </c>
      <c r="AN176" s="146" t="str">
        <f t="shared" si="61"/>
        <v/>
      </c>
      <c r="AO176" s="149" t="str">
        <f t="shared" si="62"/>
        <v/>
      </c>
      <c r="AP176" s="150" t="str">
        <f t="shared" si="63"/>
        <v/>
      </c>
      <c r="AQ176" s="146" t="str">
        <f>IFERROR(_xlfn.IFNA(IF($BA176="No",0,IF(INDEX(Constants!B:B,MATCH(($I176/12),Constants!$A:$A,0))=0,0,INDEX(Constants!B:B,MATCH(($I176/12),Constants!$A:$A,0)))),0),"")</f>
        <v/>
      </c>
      <c r="AR176" s="146" t="str">
        <f>IFERROR(_xlfn.IFNA(IF($BA176="No",0,IF(INDEX(Constants!C:C,MATCH(($I176/12),Constants!$A:$A,0))=0,0,INDEX(Constants!C:C,MATCH(($I176/12),Constants!$A:$A,0)))),0),"")</f>
        <v/>
      </c>
      <c r="AS176" s="146" t="str">
        <f>IFERROR(_xlfn.IFNA(IF($BA176="No",0,IF(INDEX(Constants!D:D,MATCH(($I176/12),Constants!$A:$A,0))=0,0,INDEX(Constants!D:D,MATCH(($I176/12),Constants!$A:$A,0)))),0),"")</f>
        <v/>
      </c>
      <c r="AT176" s="146" t="str">
        <f>IFERROR(_xlfn.IFNA(IF($BA176="No",0,IF(INDEX(Constants!E:E,MATCH(($I176/12),Constants!$A:$A,0))=0,0,INDEX(Constants!E:E,MATCH(($I176/12),Constants!$A:$A,0)))),0),"")</f>
        <v/>
      </c>
      <c r="AU176" s="146" t="str">
        <f>IFERROR(_xlfn.IFNA(IF($BA176="No",0,IF(INDEX(Constants!F:F,MATCH(($I176/12),Constants!$A:$A,0))=0,0,INDEX(Constants!F:F,MATCH(($I176/12),Constants!$A:$A,0)))),0),"")</f>
        <v/>
      </c>
      <c r="AV176" s="146" t="str">
        <f>IFERROR(_xlfn.IFNA(IF($BA176="No",0,IF(INDEX(Constants!G:G,MATCH(($I176/12),Constants!$A:$A,0))=0,0,INDEX(Constants!G:G,MATCH(($I176/12),Constants!$A:$A,0)))),0),"")</f>
        <v/>
      </c>
      <c r="AW176" s="146" t="str">
        <f>IFERROR(_xlfn.IFNA(IF($BA176="No",0,IF(INDEX(Constants!H:H,MATCH(($I176/12),Constants!$A:$A,0))=0,0,INDEX(Constants!H:H,MATCH(($I176/12),Constants!$A:$A,0)))),0),"")</f>
        <v/>
      </c>
      <c r="AX176" s="146" t="str">
        <f>IFERROR(_xlfn.IFNA(IF($BA176="No",0,IF(INDEX(Constants!I:I,MATCH(($I176/12),Constants!$A:$A,0))=0,0,INDEX(Constants!I:I,MATCH(($I176/12),Constants!$A:$A,0)))),0),"")</f>
        <v/>
      </c>
      <c r="AY176" s="146" t="str">
        <f>IFERROR(_xlfn.IFNA(IF($BA176="No",0,IF(INDEX(Constants!J:J,MATCH(($I176/12),Constants!$A:$A,0))=0,0,INDEX(Constants!J:J,MATCH(($I176/12),Constants!$A:$A,0)))),0),"")</f>
        <v/>
      </c>
      <c r="AZ176" s="146" t="str">
        <f>IFERROR(_xlfn.IFNA(IF($BA176="No",0,IF(INDEX(Constants!K:K,MATCH(($I176/12),Constants!$A:$A,0))=0,0,INDEX(Constants!K:K,MATCH(($I176/12),Constants!$A:$A,0)))),0),"")</f>
        <v/>
      </c>
      <c r="BA176" s="147" t="str">
        <f>_xlfn.IFNA(INDEX(Producer!$L:$L,MATCH($D176,Producer!$A:$A,0)),"")</f>
        <v/>
      </c>
      <c r="BB176" s="146" t="str">
        <f>IFERROR(IF(AQ176=0,"",IF(($I176/12)=15,_xlfn.CONCAT(Constants!$N$7,TEXT(DATE(YEAR(H176)-(($I176/12)-3),MONTH(H176),DAY(H176)),"dd/mm/yyyy"),", ",Constants!$P$7,TEXT(DATE(YEAR(H176)-(($I176/12)-8),MONTH(H176),DAY(H176)),"dd/mm/yyyy"),", ",Constants!$T$7,TEXT(DATE(YEAR(H176)-(($I176/12)-11),MONTH(H176),DAY(H176)),"dd/mm/yyyy"),", ",Constants!$V$7,TEXT(DATE(YEAR(H176)-(($I176/12)-13),MONTH(H176),DAY(H176)),"dd/mm/yyyy"),", ",Constants!$W$7,TEXT($H176,"dd/mm/yyyy")),IF(($I176/12)=10,_xlfn.CONCAT(Constants!$N$6,TEXT(DATE(YEAR(H176)-(($I176/12)-2),MONTH(H176),DAY(H176)),"dd/mm/yyyy"),", ",Constants!$P$6,TEXT(DATE(YEAR(H176)-(($I176/12)-6),MONTH(H176),DAY(H176)),"dd/mm/yyyy"),", ",Constants!$T$6,TEXT(DATE(YEAR(H176)-(($I176/12)-8),MONTH(H176),DAY(H176)),"dd/mm/yyyy"),", ",Constants!$V$6,TEXT(DATE(YEAR(H176)-(($I176/12)-9),MONTH(H176),DAY(H176)),"dd/mm/yyyy"),", ",Constants!$W$6,TEXT($H176,"dd/mm/yyyy")),IF(($I176/12)=5,_xlfn.CONCAT(Constants!$N$5,TEXT(DATE(YEAR(H176)-(($I176/12)-1),MONTH(H176),DAY(H176)),"dd/mm/yyyy"),", ",Constants!$O$5,TEXT(DATE(YEAR(H176)-(($I176/12)-2),MONTH(H176),DAY(H176)),"dd/mm/yyyy"),", ",Constants!$P$5,TEXT(DATE(YEAR(H176)-(($I176/12)-3),MONTH(H176),DAY(H176)),"dd/mm/yyyy"),", ",Constants!$Q$5,TEXT(DATE(YEAR(H176)-(($I176/12)-4),MONTH(H176),DAY(H176)),"dd/mm/yyyy"),", ",Constants!$R$5,TEXT($H176,"dd/mm/yyyy")),IF(($I176/12)=3,_xlfn.CONCAT(Constants!$N$4,TEXT(DATE(YEAR(H176)-(($I176/12)-1),MONTH(H176),DAY(H176)),"dd/mm/yyyy"),", ",Constants!$O$4,TEXT(DATE(YEAR(H176)-(($I176/12)-2),MONTH(H176),DAY(H176)),"dd/mm/yyyy"),", ",Constants!$P$4,TEXT($H176,"dd/mm/yyyy")),IF(($I176/12)=2,_xlfn.CONCAT(Constants!$N$3,TEXT(DATE(YEAR(H176)-(($I176/12)-1),MONTH(H176),DAY(H176)),"dd/mm/yyyy"),", ",Constants!$O$3,TEXT($H176,"dd/mm/yyyy")),IF(($I176/12)=1,_xlfn.CONCAT(Constants!$N$2,TEXT($H176,"dd/mm/yyyy")),"Update Constants"))))))),"")</f>
        <v/>
      </c>
      <c r="BC176" s="147" t="str">
        <f>_xlfn.IFNA(VALUE(INDEX(Producer!$K:$K,MATCH($D176,Producer!$A:$A,0))),"")</f>
        <v/>
      </c>
      <c r="BD176" s="147" t="str">
        <f>_xlfn.IFNA(INDEX(Producer!$I:$I,MATCH($D176,Producer!$A:$A,0)),"")</f>
        <v/>
      </c>
      <c r="BE176" s="147" t="str">
        <f t="shared" si="64"/>
        <v/>
      </c>
      <c r="BF176" s="147"/>
      <c r="BG176" s="147"/>
      <c r="BH176" s="151" t="str">
        <f>_xlfn.IFNA(INDEX(Constants!$B:$B,MATCH(BC176,Constants!A:A,0)),"")</f>
        <v/>
      </c>
      <c r="BI176" s="147" t="str">
        <f>IF(LEFT(B176,15)="Limited Company",Constants!$D$16,IFERROR(_xlfn.IFNA(IF(C176="Residential",IF(BK176&lt;75,INDEX(Constants!$B:$B,MATCH(VALUE(60)/100,Constants!$A:$A,0)),INDEX(Constants!$B:$B,MATCH(VALUE(BK176)/100,Constants!$A:$A,0))),IF(BK176&lt;60,INDEX(Constants!$C:$C,MATCH(VALUE(60)/100,Constants!$A:$A,0)),INDEX(Constants!$C:$C,MATCH(VALUE(BK176)/100,Constants!$A:$A,0)))),""),""))</f>
        <v/>
      </c>
      <c r="BJ176" s="147" t="str">
        <f t="shared" si="65"/>
        <v/>
      </c>
      <c r="BK176" s="147" t="str">
        <f>_xlfn.IFNA(VALUE(INDEX(Producer!$E:$E,MATCH($D176,Producer!$A:$A,0)))*100,"")</f>
        <v/>
      </c>
      <c r="BL176" s="146" t="str">
        <f>_xlfn.IFNA(IF(IFERROR(FIND("Part &amp; Part",B176),-10)&gt;0,"PP",IF(OR(LEFT(B176,25)="Residential Interest Only",INDEX(Producer!$P:$P,MATCH($D176,Producer!$A:$A,0))="IO",INDEX(Producer!$P:$P,MATCH($D176,Producer!$A:$A,0))="Retirement Interest Only"),"IO",IF($C176="BuyToLet","CI, IO","CI"))),"")</f>
        <v/>
      </c>
      <c r="BM176" s="152" t="str">
        <f>_xlfn.IFNA(IF(BL176="IO",100%,IF(AND(INDEX(Producer!$P:$P,MATCH($D176,Producer!$A:$A,0))="Residential Interest Only Part &amp; Part",BK176=75),80%,IF(C176="BuyToLet",100%,IF(BL176="Interest Only",100%,IF(AND(INDEX(Producer!$P:$P,MATCH($D176,Producer!$A:$A,0))="Residential Interest Only Part &amp; Part",BK176=60),100%,""))))),"")</f>
        <v/>
      </c>
      <c r="BN176" s="218" t="str">
        <f>_xlfn.IFNA(IF(VALUE(INDEX(Producer!$H:$H,MATCH($D176,Producer!$A:$A,0)))=0,"",VALUE(INDEX(Producer!$H:$H,MATCH($D176,Producer!$A:$A,0)))),"")</f>
        <v/>
      </c>
      <c r="BO176" s="153"/>
      <c r="BP176" s="153"/>
      <c r="BQ176" s="219" t="str">
        <f t="shared" si="66"/>
        <v/>
      </c>
      <c r="BR176" s="146"/>
      <c r="BS176" s="146"/>
      <c r="BT176" s="146"/>
      <c r="BU176" s="146"/>
      <c r="BV176" s="219" t="str">
        <f t="shared" si="67"/>
        <v/>
      </c>
      <c r="BW176" s="146"/>
      <c r="BX176" s="146"/>
      <c r="BY176" s="146" t="str">
        <f t="shared" si="68"/>
        <v/>
      </c>
      <c r="BZ176" s="146" t="str">
        <f t="shared" si="69"/>
        <v/>
      </c>
      <c r="CA176" s="146" t="str">
        <f t="shared" si="70"/>
        <v/>
      </c>
      <c r="CB176" s="146" t="str">
        <f t="shared" si="71"/>
        <v/>
      </c>
      <c r="CC176" s="146" t="str">
        <f>_xlfn.IFNA(IF(INDEX(Producer!$P:$P,MATCH($D176,Producer!$A:$A,0))="Help to Buy","Only available","No"),"")</f>
        <v/>
      </c>
      <c r="CD176" s="146" t="str">
        <f>_xlfn.IFNA(IF(INDEX(Producer!$P:$P,MATCH($D176,Producer!$A:$A,0))="Shared Ownership","Only available","No"),"")</f>
        <v/>
      </c>
      <c r="CE176" s="146" t="str">
        <f>_xlfn.IFNA(IF(INDEX(Producer!$P:$P,MATCH($D176,Producer!$A:$A,0))="Right to Buy","Only available","No"),"")</f>
        <v/>
      </c>
      <c r="CF176" s="146" t="str">
        <f t="shared" si="72"/>
        <v/>
      </c>
      <c r="CG176" s="146" t="str">
        <f>_xlfn.IFNA(IF(INDEX(Producer!$P:$P,MATCH($D176,Producer!$A:$A,0))="Retirement Interest Only","Only available","No"),"")</f>
        <v/>
      </c>
      <c r="CH176" s="146" t="str">
        <f t="shared" si="73"/>
        <v/>
      </c>
      <c r="CI176" s="146" t="str">
        <f>_xlfn.IFNA(IF(INDEX(Producer!$P:$P,MATCH($D176,Producer!$A:$A,0))="Intermediary Holiday Let","Only available","No"),"")</f>
        <v/>
      </c>
      <c r="CJ176" s="146" t="str">
        <f t="shared" si="74"/>
        <v/>
      </c>
      <c r="CK176" s="146" t="str">
        <f>_xlfn.IFNA(IF(OR(INDEX(Producer!$P:$P,MATCH($D176,Producer!$A:$A,0))="Intermediary Small HMO",INDEX(Producer!$P:$P,MATCH($D176,Producer!$A:$A,0))="Intermediary Large HMO"),"Only available","No"),"")</f>
        <v/>
      </c>
      <c r="CL176" s="146" t="str">
        <f t="shared" si="75"/>
        <v/>
      </c>
      <c r="CM176" s="146" t="str">
        <f t="shared" si="76"/>
        <v/>
      </c>
      <c r="CN176" s="146" t="str">
        <f t="shared" si="77"/>
        <v/>
      </c>
      <c r="CO176" s="146" t="str">
        <f t="shared" si="78"/>
        <v/>
      </c>
      <c r="CP176" s="146" t="str">
        <f t="shared" si="79"/>
        <v/>
      </c>
      <c r="CQ176" s="146" t="str">
        <f t="shared" si="80"/>
        <v/>
      </c>
      <c r="CR176" s="146" t="str">
        <f t="shared" si="81"/>
        <v/>
      </c>
      <c r="CS176" s="146" t="str">
        <f t="shared" si="82"/>
        <v/>
      </c>
      <c r="CT176" s="146" t="str">
        <f t="shared" si="83"/>
        <v/>
      </c>
      <c r="CU176" s="146"/>
    </row>
    <row r="177" spans="1:99" ht="16.399999999999999" customHeight="1" x14ac:dyDescent="0.35">
      <c r="A177" s="145" t="str">
        <f t="shared" si="56"/>
        <v/>
      </c>
      <c r="B177" s="145" t="str">
        <f>_xlfn.IFNA(_xlfn.CONCAT(INDEX(Producer!$P:$P,MATCH($D177,Producer!$A:$A,0))," ",IF(INDEX(Producer!$N:$N,MATCH($D177,Producer!$A:$A,0))="Yes","Green ",""),IF(AND(INDEX(Producer!$L:$L,MATCH($D177,Producer!$A:$A,0))="No",INDEX(Producer!$C:$C,MATCH($D177,Producer!$A:$A,0))="Fixed"),"Flexit ",""),INDEX(Producer!$B:$B,MATCH($D177,Producer!$A:$A,0))," Year ",INDEX(Producer!$C:$C,MATCH($D177,Producer!$A:$A,0))," ",VALUE(INDEX(Producer!$E:$E,MATCH($D177,Producer!$A:$A,0)))*100,"% LTV",IF(INDEX(Producer!$N:$N,MATCH($D177,Producer!$A:$A,0))="Yes"," (EPC A-C)","")," - ",IF(INDEX(Producer!$D:$D,MATCH($D177,Producer!$A:$A,0))="DLY","Daily","Annual")),"")</f>
        <v/>
      </c>
      <c r="C177" s="146" t="str">
        <f>_xlfn.IFNA(INDEX(Producer!$Q:$Q,MATCH($D177,Producer!$A:$A,0)),"")</f>
        <v/>
      </c>
      <c r="D177" s="146" t="str">
        <f>IFERROR(VALUE(MID(Producer!$R$2,IF($D176="",1/0,FIND(_xlfn.CONCAT($D175,$D176),Producer!$R$2)+10),5)),"")</f>
        <v/>
      </c>
      <c r="E177" s="146" t="str">
        <f t="shared" si="57"/>
        <v/>
      </c>
      <c r="F177" s="146"/>
      <c r="G177" s="147" t="str">
        <f>_xlfn.IFNA(VALUE(INDEX(Producer!$F:$F,MATCH($D177,Producer!$A:$A,0)))*100,"")</f>
        <v/>
      </c>
      <c r="H177" s="216" t="str">
        <f>_xlfn.IFNA(IFERROR(DATEVALUE(INDEX(Producer!$M:$M,MATCH($D177,Producer!$A:$A,0))),(INDEX(Producer!$M:$M,MATCH($D177,Producer!$A:$A,0)))),"")</f>
        <v/>
      </c>
      <c r="I177" s="217" t="str">
        <f>_xlfn.IFNA(VALUE(INDEX(Producer!$B:$B,MATCH($D177,Producer!$A:$A,0)))*12,"")</f>
        <v/>
      </c>
      <c r="J177" s="146" t="str">
        <f>_xlfn.IFNA(IF(C177="Residential",IF(VALUE(INDEX(Producer!$B:$B,MATCH($D177,Producer!$A:$A,0)))&lt;5,Constants!$C$10,""),IF(VALUE(INDEX(Producer!$B:$B,MATCH($D177,Producer!$A:$A,0)))&lt;5,Constants!$C$11,"")),"")</f>
        <v/>
      </c>
      <c r="K177" s="216" t="str">
        <f>_xlfn.IFNA(IF(($I177)&lt;60,DATE(YEAR(H177)+(5-VALUE(INDEX(Producer!$B:$B,MATCH($D177,Producer!$A:$A,0)))),MONTH(H177),DAY(H177)),""),"")</f>
        <v/>
      </c>
      <c r="L177" s="153" t="str">
        <f t="shared" si="58"/>
        <v/>
      </c>
      <c r="M177" s="146"/>
      <c r="N177" s="148"/>
      <c r="O177" s="148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6"/>
      <c r="AK177" s="146" t="str">
        <f>IF(D177="","",IF(C177="Residential",Constants!$B$10,Constants!$B$11))</f>
        <v/>
      </c>
      <c r="AL177" s="146" t="str">
        <f t="shared" si="59"/>
        <v/>
      </c>
      <c r="AM177" s="206" t="str">
        <f t="shared" si="60"/>
        <v/>
      </c>
      <c r="AN177" s="146" t="str">
        <f t="shared" si="61"/>
        <v/>
      </c>
      <c r="AO177" s="149" t="str">
        <f t="shared" si="62"/>
        <v/>
      </c>
      <c r="AP177" s="150" t="str">
        <f t="shared" si="63"/>
        <v/>
      </c>
      <c r="AQ177" s="146" t="str">
        <f>IFERROR(_xlfn.IFNA(IF($BA177="No",0,IF(INDEX(Constants!B:B,MATCH(($I177/12),Constants!$A:$A,0))=0,0,INDEX(Constants!B:B,MATCH(($I177/12),Constants!$A:$A,0)))),0),"")</f>
        <v/>
      </c>
      <c r="AR177" s="146" t="str">
        <f>IFERROR(_xlfn.IFNA(IF($BA177="No",0,IF(INDEX(Constants!C:C,MATCH(($I177/12),Constants!$A:$A,0))=0,0,INDEX(Constants!C:C,MATCH(($I177/12),Constants!$A:$A,0)))),0),"")</f>
        <v/>
      </c>
      <c r="AS177" s="146" t="str">
        <f>IFERROR(_xlfn.IFNA(IF($BA177="No",0,IF(INDEX(Constants!D:D,MATCH(($I177/12),Constants!$A:$A,0))=0,0,INDEX(Constants!D:D,MATCH(($I177/12),Constants!$A:$A,0)))),0),"")</f>
        <v/>
      </c>
      <c r="AT177" s="146" t="str">
        <f>IFERROR(_xlfn.IFNA(IF($BA177="No",0,IF(INDEX(Constants!E:E,MATCH(($I177/12),Constants!$A:$A,0))=0,0,INDEX(Constants!E:E,MATCH(($I177/12),Constants!$A:$A,0)))),0),"")</f>
        <v/>
      </c>
      <c r="AU177" s="146" t="str">
        <f>IFERROR(_xlfn.IFNA(IF($BA177="No",0,IF(INDEX(Constants!F:F,MATCH(($I177/12),Constants!$A:$A,0))=0,0,INDEX(Constants!F:F,MATCH(($I177/12),Constants!$A:$A,0)))),0),"")</f>
        <v/>
      </c>
      <c r="AV177" s="146" t="str">
        <f>IFERROR(_xlfn.IFNA(IF($BA177="No",0,IF(INDEX(Constants!G:G,MATCH(($I177/12),Constants!$A:$A,0))=0,0,INDEX(Constants!G:G,MATCH(($I177/12),Constants!$A:$A,0)))),0),"")</f>
        <v/>
      </c>
      <c r="AW177" s="146" t="str">
        <f>IFERROR(_xlfn.IFNA(IF($BA177="No",0,IF(INDEX(Constants!H:H,MATCH(($I177/12),Constants!$A:$A,0))=0,0,INDEX(Constants!H:H,MATCH(($I177/12),Constants!$A:$A,0)))),0),"")</f>
        <v/>
      </c>
      <c r="AX177" s="146" t="str">
        <f>IFERROR(_xlfn.IFNA(IF($BA177="No",0,IF(INDEX(Constants!I:I,MATCH(($I177/12),Constants!$A:$A,0))=0,0,INDEX(Constants!I:I,MATCH(($I177/12),Constants!$A:$A,0)))),0),"")</f>
        <v/>
      </c>
      <c r="AY177" s="146" t="str">
        <f>IFERROR(_xlfn.IFNA(IF($BA177="No",0,IF(INDEX(Constants!J:J,MATCH(($I177/12),Constants!$A:$A,0))=0,0,INDEX(Constants!J:J,MATCH(($I177/12),Constants!$A:$A,0)))),0),"")</f>
        <v/>
      </c>
      <c r="AZ177" s="146" t="str">
        <f>IFERROR(_xlfn.IFNA(IF($BA177="No",0,IF(INDEX(Constants!K:K,MATCH(($I177/12),Constants!$A:$A,0))=0,0,INDEX(Constants!K:K,MATCH(($I177/12),Constants!$A:$A,0)))),0),"")</f>
        <v/>
      </c>
      <c r="BA177" s="147" t="str">
        <f>_xlfn.IFNA(INDEX(Producer!$L:$L,MATCH($D177,Producer!$A:$A,0)),"")</f>
        <v/>
      </c>
      <c r="BB177" s="146" t="str">
        <f>IFERROR(IF(AQ177=0,"",IF(($I177/12)=15,_xlfn.CONCAT(Constants!$N$7,TEXT(DATE(YEAR(H177)-(($I177/12)-3),MONTH(H177),DAY(H177)),"dd/mm/yyyy"),", ",Constants!$P$7,TEXT(DATE(YEAR(H177)-(($I177/12)-8),MONTH(H177),DAY(H177)),"dd/mm/yyyy"),", ",Constants!$T$7,TEXT(DATE(YEAR(H177)-(($I177/12)-11),MONTH(H177),DAY(H177)),"dd/mm/yyyy"),", ",Constants!$V$7,TEXT(DATE(YEAR(H177)-(($I177/12)-13),MONTH(H177),DAY(H177)),"dd/mm/yyyy"),", ",Constants!$W$7,TEXT($H177,"dd/mm/yyyy")),IF(($I177/12)=10,_xlfn.CONCAT(Constants!$N$6,TEXT(DATE(YEAR(H177)-(($I177/12)-2),MONTH(H177),DAY(H177)),"dd/mm/yyyy"),", ",Constants!$P$6,TEXT(DATE(YEAR(H177)-(($I177/12)-6),MONTH(H177),DAY(H177)),"dd/mm/yyyy"),", ",Constants!$T$6,TEXT(DATE(YEAR(H177)-(($I177/12)-8),MONTH(H177),DAY(H177)),"dd/mm/yyyy"),", ",Constants!$V$6,TEXT(DATE(YEAR(H177)-(($I177/12)-9),MONTH(H177),DAY(H177)),"dd/mm/yyyy"),", ",Constants!$W$6,TEXT($H177,"dd/mm/yyyy")),IF(($I177/12)=5,_xlfn.CONCAT(Constants!$N$5,TEXT(DATE(YEAR(H177)-(($I177/12)-1),MONTH(H177),DAY(H177)),"dd/mm/yyyy"),", ",Constants!$O$5,TEXT(DATE(YEAR(H177)-(($I177/12)-2),MONTH(H177),DAY(H177)),"dd/mm/yyyy"),", ",Constants!$P$5,TEXT(DATE(YEAR(H177)-(($I177/12)-3),MONTH(H177),DAY(H177)),"dd/mm/yyyy"),", ",Constants!$Q$5,TEXT(DATE(YEAR(H177)-(($I177/12)-4),MONTH(H177),DAY(H177)),"dd/mm/yyyy"),", ",Constants!$R$5,TEXT($H177,"dd/mm/yyyy")),IF(($I177/12)=3,_xlfn.CONCAT(Constants!$N$4,TEXT(DATE(YEAR(H177)-(($I177/12)-1),MONTH(H177),DAY(H177)),"dd/mm/yyyy"),", ",Constants!$O$4,TEXT(DATE(YEAR(H177)-(($I177/12)-2),MONTH(H177),DAY(H177)),"dd/mm/yyyy"),", ",Constants!$P$4,TEXT($H177,"dd/mm/yyyy")),IF(($I177/12)=2,_xlfn.CONCAT(Constants!$N$3,TEXT(DATE(YEAR(H177)-(($I177/12)-1),MONTH(H177),DAY(H177)),"dd/mm/yyyy"),", ",Constants!$O$3,TEXT($H177,"dd/mm/yyyy")),IF(($I177/12)=1,_xlfn.CONCAT(Constants!$N$2,TEXT($H177,"dd/mm/yyyy")),"Update Constants"))))))),"")</f>
        <v/>
      </c>
      <c r="BC177" s="147" t="str">
        <f>_xlfn.IFNA(VALUE(INDEX(Producer!$K:$K,MATCH($D177,Producer!$A:$A,0))),"")</f>
        <v/>
      </c>
      <c r="BD177" s="147" t="str">
        <f>_xlfn.IFNA(INDEX(Producer!$I:$I,MATCH($D177,Producer!$A:$A,0)),"")</f>
        <v/>
      </c>
      <c r="BE177" s="147" t="str">
        <f t="shared" si="64"/>
        <v/>
      </c>
      <c r="BF177" s="147"/>
      <c r="BG177" s="147"/>
      <c r="BH177" s="151" t="str">
        <f>_xlfn.IFNA(INDEX(Constants!$B:$B,MATCH(BC177,Constants!A:A,0)),"")</f>
        <v/>
      </c>
      <c r="BI177" s="147" t="str">
        <f>IF(LEFT(B177,15)="Limited Company",Constants!$D$16,IFERROR(_xlfn.IFNA(IF(C177="Residential",IF(BK177&lt;75,INDEX(Constants!$B:$B,MATCH(VALUE(60)/100,Constants!$A:$A,0)),INDEX(Constants!$B:$B,MATCH(VALUE(BK177)/100,Constants!$A:$A,0))),IF(BK177&lt;60,INDEX(Constants!$C:$C,MATCH(VALUE(60)/100,Constants!$A:$A,0)),INDEX(Constants!$C:$C,MATCH(VALUE(BK177)/100,Constants!$A:$A,0)))),""),""))</f>
        <v/>
      </c>
      <c r="BJ177" s="147" t="str">
        <f t="shared" si="65"/>
        <v/>
      </c>
      <c r="BK177" s="147" t="str">
        <f>_xlfn.IFNA(VALUE(INDEX(Producer!$E:$E,MATCH($D177,Producer!$A:$A,0)))*100,"")</f>
        <v/>
      </c>
      <c r="BL177" s="146" t="str">
        <f>_xlfn.IFNA(IF(IFERROR(FIND("Part &amp; Part",B177),-10)&gt;0,"PP",IF(OR(LEFT(B177,25)="Residential Interest Only",INDEX(Producer!$P:$P,MATCH($D177,Producer!$A:$A,0))="IO",INDEX(Producer!$P:$P,MATCH($D177,Producer!$A:$A,0))="Retirement Interest Only"),"IO",IF($C177="BuyToLet","CI, IO","CI"))),"")</f>
        <v/>
      </c>
      <c r="BM177" s="152" t="str">
        <f>_xlfn.IFNA(IF(BL177="IO",100%,IF(AND(INDEX(Producer!$P:$P,MATCH($D177,Producer!$A:$A,0))="Residential Interest Only Part &amp; Part",BK177=75),80%,IF(C177="BuyToLet",100%,IF(BL177="Interest Only",100%,IF(AND(INDEX(Producer!$P:$P,MATCH($D177,Producer!$A:$A,0))="Residential Interest Only Part &amp; Part",BK177=60),100%,""))))),"")</f>
        <v/>
      </c>
      <c r="BN177" s="218" t="str">
        <f>_xlfn.IFNA(IF(VALUE(INDEX(Producer!$H:$H,MATCH($D177,Producer!$A:$A,0)))=0,"",VALUE(INDEX(Producer!$H:$H,MATCH($D177,Producer!$A:$A,0)))),"")</f>
        <v/>
      </c>
      <c r="BO177" s="153"/>
      <c r="BP177" s="153"/>
      <c r="BQ177" s="219" t="str">
        <f t="shared" si="66"/>
        <v/>
      </c>
      <c r="BR177" s="146"/>
      <c r="BS177" s="146"/>
      <c r="BT177" s="146"/>
      <c r="BU177" s="146"/>
      <c r="BV177" s="219" t="str">
        <f t="shared" si="67"/>
        <v/>
      </c>
      <c r="BW177" s="146"/>
      <c r="BX177" s="146"/>
      <c r="BY177" s="146" t="str">
        <f t="shared" si="68"/>
        <v/>
      </c>
      <c r="BZ177" s="146" t="str">
        <f t="shared" si="69"/>
        <v/>
      </c>
      <c r="CA177" s="146" t="str">
        <f t="shared" si="70"/>
        <v/>
      </c>
      <c r="CB177" s="146" t="str">
        <f t="shared" si="71"/>
        <v/>
      </c>
      <c r="CC177" s="146" t="str">
        <f>_xlfn.IFNA(IF(INDEX(Producer!$P:$P,MATCH($D177,Producer!$A:$A,0))="Help to Buy","Only available","No"),"")</f>
        <v/>
      </c>
      <c r="CD177" s="146" t="str">
        <f>_xlfn.IFNA(IF(INDEX(Producer!$P:$P,MATCH($D177,Producer!$A:$A,0))="Shared Ownership","Only available","No"),"")</f>
        <v/>
      </c>
      <c r="CE177" s="146" t="str">
        <f>_xlfn.IFNA(IF(INDEX(Producer!$P:$P,MATCH($D177,Producer!$A:$A,0))="Right to Buy","Only available","No"),"")</f>
        <v/>
      </c>
      <c r="CF177" s="146" t="str">
        <f t="shared" si="72"/>
        <v/>
      </c>
      <c r="CG177" s="146" t="str">
        <f>_xlfn.IFNA(IF(INDEX(Producer!$P:$P,MATCH($D177,Producer!$A:$A,0))="Retirement Interest Only","Only available","No"),"")</f>
        <v/>
      </c>
      <c r="CH177" s="146" t="str">
        <f t="shared" si="73"/>
        <v/>
      </c>
      <c r="CI177" s="146" t="str">
        <f>_xlfn.IFNA(IF(INDEX(Producer!$P:$P,MATCH($D177,Producer!$A:$A,0))="Intermediary Holiday Let","Only available","No"),"")</f>
        <v/>
      </c>
      <c r="CJ177" s="146" t="str">
        <f t="shared" si="74"/>
        <v/>
      </c>
      <c r="CK177" s="146" t="str">
        <f>_xlfn.IFNA(IF(OR(INDEX(Producer!$P:$P,MATCH($D177,Producer!$A:$A,0))="Intermediary Small HMO",INDEX(Producer!$P:$P,MATCH($D177,Producer!$A:$A,0))="Intermediary Large HMO"),"Only available","No"),"")</f>
        <v/>
      </c>
      <c r="CL177" s="146" t="str">
        <f t="shared" si="75"/>
        <v/>
      </c>
      <c r="CM177" s="146" t="str">
        <f t="shared" si="76"/>
        <v/>
      </c>
      <c r="CN177" s="146" t="str">
        <f t="shared" si="77"/>
        <v/>
      </c>
      <c r="CO177" s="146" t="str">
        <f t="shared" si="78"/>
        <v/>
      </c>
      <c r="CP177" s="146" t="str">
        <f t="shared" si="79"/>
        <v/>
      </c>
      <c r="CQ177" s="146" t="str">
        <f t="shared" si="80"/>
        <v/>
      </c>
      <c r="CR177" s="146" t="str">
        <f t="shared" si="81"/>
        <v/>
      </c>
      <c r="CS177" s="146" t="str">
        <f t="shared" si="82"/>
        <v/>
      </c>
      <c r="CT177" s="146" t="str">
        <f t="shared" si="83"/>
        <v/>
      </c>
      <c r="CU177" s="146"/>
    </row>
    <row r="178" spans="1:99" ht="16.399999999999999" customHeight="1" x14ac:dyDescent="0.35">
      <c r="A178" s="145" t="str">
        <f t="shared" si="56"/>
        <v/>
      </c>
      <c r="B178" s="145" t="str">
        <f>_xlfn.IFNA(_xlfn.CONCAT(INDEX(Producer!$P:$P,MATCH($D178,Producer!$A:$A,0))," ",IF(INDEX(Producer!$N:$N,MATCH($D178,Producer!$A:$A,0))="Yes","Green ",""),IF(AND(INDEX(Producer!$L:$L,MATCH($D178,Producer!$A:$A,0))="No",INDEX(Producer!$C:$C,MATCH($D178,Producer!$A:$A,0))="Fixed"),"Flexit ",""),INDEX(Producer!$B:$B,MATCH($D178,Producer!$A:$A,0))," Year ",INDEX(Producer!$C:$C,MATCH($D178,Producer!$A:$A,0))," ",VALUE(INDEX(Producer!$E:$E,MATCH($D178,Producer!$A:$A,0)))*100,"% LTV",IF(INDEX(Producer!$N:$N,MATCH($D178,Producer!$A:$A,0))="Yes"," (EPC A-C)","")," - ",IF(INDEX(Producer!$D:$D,MATCH($D178,Producer!$A:$A,0))="DLY","Daily","Annual")),"")</f>
        <v/>
      </c>
      <c r="C178" s="146" t="str">
        <f>_xlfn.IFNA(INDEX(Producer!$Q:$Q,MATCH($D178,Producer!$A:$A,0)),"")</f>
        <v/>
      </c>
      <c r="D178" s="146" t="str">
        <f>IFERROR(VALUE(MID(Producer!$R$2,IF($D177="",1/0,FIND(_xlfn.CONCAT($D176,$D177),Producer!$R$2)+10),5)),"")</f>
        <v/>
      </c>
      <c r="E178" s="146" t="str">
        <f t="shared" si="57"/>
        <v/>
      </c>
      <c r="F178" s="146"/>
      <c r="G178" s="147" t="str">
        <f>_xlfn.IFNA(VALUE(INDEX(Producer!$F:$F,MATCH($D178,Producer!$A:$A,0)))*100,"")</f>
        <v/>
      </c>
      <c r="H178" s="216" t="str">
        <f>_xlfn.IFNA(IFERROR(DATEVALUE(INDEX(Producer!$M:$M,MATCH($D178,Producer!$A:$A,0))),(INDEX(Producer!$M:$M,MATCH($D178,Producer!$A:$A,0)))),"")</f>
        <v/>
      </c>
      <c r="I178" s="217" t="str">
        <f>_xlfn.IFNA(VALUE(INDEX(Producer!$B:$B,MATCH($D178,Producer!$A:$A,0)))*12,"")</f>
        <v/>
      </c>
      <c r="J178" s="146" t="str">
        <f>_xlfn.IFNA(IF(C178="Residential",IF(VALUE(INDEX(Producer!$B:$B,MATCH($D178,Producer!$A:$A,0)))&lt;5,Constants!$C$10,""),IF(VALUE(INDEX(Producer!$B:$B,MATCH($D178,Producer!$A:$A,0)))&lt;5,Constants!$C$11,"")),"")</f>
        <v/>
      </c>
      <c r="K178" s="216" t="str">
        <f>_xlfn.IFNA(IF(($I178)&lt;60,DATE(YEAR(H178)+(5-VALUE(INDEX(Producer!$B:$B,MATCH($D178,Producer!$A:$A,0)))),MONTH(H178),DAY(H178)),""),"")</f>
        <v/>
      </c>
      <c r="L178" s="153" t="str">
        <f t="shared" si="58"/>
        <v/>
      </c>
      <c r="M178" s="146"/>
      <c r="N178" s="148"/>
      <c r="O178" s="148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146"/>
      <c r="AK178" s="146" t="str">
        <f>IF(D178="","",IF(C178="Residential",Constants!$B$10,Constants!$B$11))</f>
        <v/>
      </c>
      <c r="AL178" s="146" t="str">
        <f t="shared" si="59"/>
        <v/>
      </c>
      <c r="AM178" s="206" t="str">
        <f t="shared" si="60"/>
        <v/>
      </c>
      <c r="AN178" s="146" t="str">
        <f t="shared" si="61"/>
        <v/>
      </c>
      <c r="AO178" s="149" t="str">
        <f t="shared" si="62"/>
        <v/>
      </c>
      <c r="AP178" s="150" t="str">
        <f t="shared" si="63"/>
        <v/>
      </c>
      <c r="AQ178" s="146" t="str">
        <f>IFERROR(_xlfn.IFNA(IF($BA178="No",0,IF(INDEX(Constants!B:B,MATCH(($I178/12),Constants!$A:$A,0))=0,0,INDEX(Constants!B:B,MATCH(($I178/12),Constants!$A:$A,0)))),0),"")</f>
        <v/>
      </c>
      <c r="AR178" s="146" t="str">
        <f>IFERROR(_xlfn.IFNA(IF($BA178="No",0,IF(INDEX(Constants!C:C,MATCH(($I178/12),Constants!$A:$A,0))=0,0,INDEX(Constants!C:C,MATCH(($I178/12),Constants!$A:$A,0)))),0),"")</f>
        <v/>
      </c>
      <c r="AS178" s="146" t="str">
        <f>IFERROR(_xlfn.IFNA(IF($BA178="No",0,IF(INDEX(Constants!D:D,MATCH(($I178/12),Constants!$A:$A,0))=0,0,INDEX(Constants!D:D,MATCH(($I178/12),Constants!$A:$A,0)))),0),"")</f>
        <v/>
      </c>
      <c r="AT178" s="146" t="str">
        <f>IFERROR(_xlfn.IFNA(IF($BA178="No",0,IF(INDEX(Constants!E:E,MATCH(($I178/12),Constants!$A:$A,0))=0,0,INDEX(Constants!E:E,MATCH(($I178/12),Constants!$A:$A,0)))),0),"")</f>
        <v/>
      </c>
      <c r="AU178" s="146" t="str">
        <f>IFERROR(_xlfn.IFNA(IF($BA178="No",0,IF(INDEX(Constants!F:F,MATCH(($I178/12),Constants!$A:$A,0))=0,0,INDEX(Constants!F:F,MATCH(($I178/12),Constants!$A:$A,0)))),0),"")</f>
        <v/>
      </c>
      <c r="AV178" s="146" t="str">
        <f>IFERROR(_xlfn.IFNA(IF($BA178="No",0,IF(INDEX(Constants!G:G,MATCH(($I178/12),Constants!$A:$A,0))=0,0,INDEX(Constants!G:G,MATCH(($I178/12),Constants!$A:$A,0)))),0),"")</f>
        <v/>
      </c>
      <c r="AW178" s="146" t="str">
        <f>IFERROR(_xlfn.IFNA(IF($BA178="No",0,IF(INDEX(Constants!H:H,MATCH(($I178/12),Constants!$A:$A,0))=0,0,INDEX(Constants!H:H,MATCH(($I178/12),Constants!$A:$A,0)))),0),"")</f>
        <v/>
      </c>
      <c r="AX178" s="146" t="str">
        <f>IFERROR(_xlfn.IFNA(IF($BA178="No",0,IF(INDEX(Constants!I:I,MATCH(($I178/12),Constants!$A:$A,0))=0,0,INDEX(Constants!I:I,MATCH(($I178/12),Constants!$A:$A,0)))),0),"")</f>
        <v/>
      </c>
      <c r="AY178" s="146" t="str">
        <f>IFERROR(_xlfn.IFNA(IF($BA178="No",0,IF(INDEX(Constants!J:J,MATCH(($I178/12),Constants!$A:$A,0))=0,0,INDEX(Constants!J:J,MATCH(($I178/12),Constants!$A:$A,0)))),0),"")</f>
        <v/>
      </c>
      <c r="AZ178" s="146" t="str">
        <f>IFERROR(_xlfn.IFNA(IF($BA178="No",0,IF(INDEX(Constants!K:K,MATCH(($I178/12),Constants!$A:$A,0))=0,0,INDEX(Constants!K:K,MATCH(($I178/12),Constants!$A:$A,0)))),0),"")</f>
        <v/>
      </c>
      <c r="BA178" s="147" t="str">
        <f>_xlfn.IFNA(INDEX(Producer!$L:$L,MATCH($D178,Producer!$A:$A,0)),"")</f>
        <v/>
      </c>
      <c r="BB178" s="146" t="str">
        <f>IFERROR(IF(AQ178=0,"",IF(($I178/12)=15,_xlfn.CONCAT(Constants!$N$7,TEXT(DATE(YEAR(H178)-(($I178/12)-3),MONTH(H178),DAY(H178)),"dd/mm/yyyy"),", ",Constants!$P$7,TEXT(DATE(YEAR(H178)-(($I178/12)-8),MONTH(H178),DAY(H178)),"dd/mm/yyyy"),", ",Constants!$T$7,TEXT(DATE(YEAR(H178)-(($I178/12)-11),MONTH(H178),DAY(H178)),"dd/mm/yyyy"),", ",Constants!$V$7,TEXT(DATE(YEAR(H178)-(($I178/12)-13),MONTH(H178),DAY(H178)),"dd/mm/yyyy"),", ",Constants!$W$7,TEXT($H178,"dd/mm/yyyy")),IF(($I178/12)=10,_xlfn.CONCAT(Constants!$N$6,TEXT(DATE(YEAR(H178)-(($I178/12)-2),MONTH(H178),DAY(H178)),"dd/mm/yyyy"),", ",Constants!$P$6,TEXT(DATE(YEAR(H178)-(($I178/12)-6),MONTH(H178),DAY(H178)),"dd/mm/yyyy"),", ",Constants!$T$6,TEXT(DATE(YEAR(H178)-(($I178/12)-8),MONTH(H178),DAY(H178)),"dd/mm/yyyy"),", ",Constants!$V$6,TEXT(DATE(YEAR(H178)-(($I178/12)-9),MONTH(H178),DAY(H178)),"dd/mm/yyyy"),", ",Constants!$W$6,TEXT($H178,"dd/mm/yyyy")),IF(($I178/12)=5,_xlfn.CONCAT(Constants!$N$5,TEXT(DATE(YEAR(H178)-(($I178/12)-1),MONTH(H178),DAY(H178)),"dd/mm/yyyy"),", ",Constants!$O$5,TEXT(DATE(YEAR(H178)-(($I178/12)-2),MONTH(H178),DAY(H178)),"dd/mm/yyyy"),", ",Constants!$P$5,TEXT(DATE(YEAR(H178)-(($I178/12)-3),MONTH(H178),DAY(H178)),"dd/mm/yyyy"),", ",Constants!$Q$5,TEXT(DATE(YEAR(H178)-(($I178/12)-4),MONTH(H178),DAY(H178)),"dd/mm/yyyy"),", ",Constants!$R$5,TEXT($H178,"dd/mm/yyyy")),IF(($I178/12)=3,_xlfn.CONCAT(Constants!$N$4,TEXT(DATE(YEAR(H178)-(($I178/12)-1),MONTH(H178),DAY(H178)),"dd/mm/yyyy"),", ",Constants!$O$4,TEXT(DATE(YEAR(H178)-(($I178/12)-2),MONTH(H178),DAY(H178)),"dd/mm/yyyy"),", ",Constants!$P$4,TEXT($H178,"dd/mm/yyyy")),IF(($I178/12)=2,_xlfn.CONCAT(Constants!$N$3,TEXT(DATE(YEAR(H178)-(($I178/12)-1),MONTH(H178),DAY(H178)),"dd/mm/yyyy"),", ",Constants!$O$3,TEXT($H178,"dd/mm/yyyy")),IF(($I178/12)=1,_xlfn.CONCAT(Constants!$N$2,TEXT($H178,"dd/mm/yyyy")),"Update Constants"))))))),"")</f>
        <v/>
      </c>
      <c r="BC178" s="147" t="str">
        <f>_xlfn.IFNA(VALUE(INDEX(Producer!$K:$K,MATCH($D178,Producer!$A:$A,0))),"")</f>
        <v/>
      </c>
      <c r="BD178" s="147" t="str">
        <f>_xlfn.IFNA(INDEX(Producer!$I:$I,MATCH($D178,Producer!$A:$A,0)),"")</f>
        <v/>
      </c>
      <c r="BE178" s="147" t="str">
        <f t="shared" si="64"/>
        <v/>
      </c>
      <c r="BF178" s="147"/>
      <c r="BG178" s="147"/>
      <c r="BH178" s="151" t="str">
        <f>_xlfn.IFNA(INDEX(Constants!$B:$B,MATCH(BC178,Constants!A:A,0)),"")</f>
        <v/>
      </c>
      <c r="BI178" s="147" t="str">
        <f>IF(LEFT(B178,15)="Limited Company",Constants!$D$16,IFERROR(_xlfn.IFNA(IF(C178="Residential",IF(BK178&lt;75,INDEX(Constants!$B:$B,MATCH(VALUE(60)/100,Constants!$A:$A,0)),INDEX(Constants!$B:$B,MATCH(VALUE(BK178)/100,Constants!$A:$A,0))),IF(BK178&lt;60,INDEX(Constants!$C:$C,MATCH(VALUE(60)/100,Constants!$A:$A,0)),INDEX(Constants!$C:$C,MATCH(VALUE(BK178)/100,Constants!$A:$A,0)))),""),""))</f>
        <v/>
      </c>
      <c r="BJ178" s="147" t="str">
        <f t="shared" si="65"/>
        <v/>
      </c>
      <c r="BK178" s="147" t="str">
        <f>_xlfn.IFNA(VALUE(INDEX(Producer!$E:$E,MATCH($D178,Producer!$A:$A,0)))*100,"")</f>
        <v/>
      </c>
      <c r="BL178" s="146" t="str">
        <f>_xlfn.IFNA(IF(IFERROR(FIND("Part &amp; Part",B178),-10)&gt;0,"PP",IF(OR(LEFT(B178,25)="Residential Interest Only",INDEX(Producer!$P:$P,MATCH($D178,Producer!$A:$A,0))="IO",INDEX(Producer!$P:$P,MATCH($D178,Producer!$A:$A,0))="Retirement Interest Only"),"IO",IF($C178="BuyToLet","CI, IO","CI"))),"")</f>
        <v/>
      </c>
      <c r="BM178" s="152" t="str">
        <f>_xlfn.IFNA(IF(BL178="IO",100%,IF(AND(INDEX(Producer!$P:$P,MATCH($D178,Producer!$A:$A,0))="Residential Interest Only Part &amp; Part",BK178=75),80%,IF(C178="BuyToLet",100%,IF(BL178="Interest Only",100%,IF(AND(INDEX(Producer!$P:$P,MATCH($D178,Producer!$A:$A,0))="Residential Interest Only Part &amp; Part",BK178=60),100%,""))))),"")</f>
        <v/>
      </c>
      <c r="BN178" s="218" t="str">
        <f>_xlfn.IFNA(IF(VALUE(INDEX(Producer!$H:$H,MATCH($D178,Producer!$A:$A,0)))=0,"",VALUE(INDEX(Producer!$H:$H,MATCH($D178,Producer!$A:$A,0)))),"")</f>
        <v/>
      </c>
      <c r="BO178" s="153"/>
      <c r="BP178" s="153"/>
      <c r="BQ178" s="219" t="str">
        <f t="shared" si="66"/>
        <v/>
      </c>
      <c r="BR178" s="146"/>
      <c r="BS178" s="146"/>
      <c r="BT178" s="146"/>
      <c r="BU178" s="146"/>
      <c r="BV178" s="219" t="str">
        <f t="shared" si="67"/>
        <v/>
      </c>
      <c r="BW178" s="146"/>
      <c r="BX178" s="146"/>
      <c r="BY178" s="146" t="str">
        <f t="shared" si="68"/>
        <v/>
      </c>
      <c r="BZ178" s="146" t="str">
        <f t="shared" si="69"/>
        <v/>
      </c>
      <c r="CA178" s="146" t="str">
        <f t="shared" si="70"/>
        <v/>
      </c>
      <c r="CB178" s="146" t="str">
        <f t="shared" si="71"/>
        <v/>
      </c>
      <c r="CC178" s="146" t="str">
        <f>_xlfn.IFNA(IF(INDEX(Producer!$P:$P,MATCH($D178,Producer!$A:$A,0))="Help to Buy","Only available","No"),"")</f>
        <v/>
      </c>
      <c r="CD178" s="146" t="str">
        <f>_xlfn.IFNA(IF(INDEX(Producer!$P:$P,MATCH($D178,Producer!$A:$A,0))="Shared Ownership","Only available","No"),"")</f>
        <v/>
      </c>
      <c r="CE178" s="146" t="str">
        <f>_xlfn.IFNA(IF(INDEX(Producer!$P:$P,MATCH($D178,Producer!$A:$A,0))="Right to Buy","Only available","No"),"")</f>
        <v/>
      </c>
      <c r="CF178" s="146" t="str">
        <f t="shared" si="72"/>
        <v/>
      </c>
      <c r="CG178" s="146" t="str">
        <f>_xlfn.IFNA(IF(INDEX(Producer!$P:$P,MATCH($D178,Producer!$A:$A,0))="Retirement Interest Only","Only available","No"),"")</f>
        <v/>
      </c>
      <c r="CH178" s="146" t="str">
        <f t="shared" si="73"/>
        <v/>
      </c>
      <c r="CI178" s="146" t="str">
        <f>_xlfn.IFNA(IF(INDEX(Producer!$P:$P,MATCH($D178,Producer!$A:$A,0))="Intermediary Holiday Let","Only available","No"),"")</f>
        <v/>
      </c>
      <c r="CJ178" s="146" t="str">
        <f t="shared" si="74"/>
        <v/>
      </c>
      <c r="CK178" s="146" t="str">
        <f>_xlfn.IFNA(IF(OR(INDEX(Producer!$P:$P,MATCH($D178,Producer!$A:$A,0))="Intermediary Small HMO",INDEX(Producer!$P:$P,MATCH($D178,Producer!$A:$A,0))="Intermediary Large HMO"),"Only available","No"),"")</f>
        <v/>
      </c>
      <c r="CL178" s="146" t="str">
        <f t="shared" si="75"/>
        <v/>
      </c>
      <c r="CM178" s="146" t="str">
        <f t="shared" si="76"/>
        <v/>
      </c>
      <c r="CN178" s="146" t="str">
        <f t="shared" si="77"/>
        <v/>
      </c>
      <c r="CO178" s="146" t="str">
        <f t="shared" si="78"/>
        <v/>
      </c>
      <c r="CP178" s="146" t="str">
        <f t="shared" si="79"/>
        <v/>
      </c>
      <c r="CQ178" s="146" t="str">
        <f t="shared" si="80"/>
        <v/>
      </c>
      <c r="CR178" s="146" t="str">
        <f t="shared" si="81"/>
        <v/>
      </c>
      <c r="CS178" s="146" t="str">
        <f t="shared" si="82"/>
        <v/>
      </c>
      <c r="CT178" s="146" t="str">
        <f t="shared" si="83"/>
        <v/>
      </c>
      <c r="CU178" s="146"/>
    </row>
    <row r="179" spans="1:99" ht="16.399999999999999" customHeight="1" x14ac:dyDescent="0.35">
      <c r="A179" s="145" t="str">
        <f t="shared" si="56"/>
        <v/>
      </c>
      <c r="B179" s="145" t="str">
        <f>_xlfn.IFNA(_xlfn.CONCAT(INDEX(Producer!$P:$P,MATCH($D179,Producer!$A:$A,0))," ",IF(INDEX(Producer!$N:$N,MATCH($D179,Producer!$A:$A,0))="Yes","Green ",""),IF(AND(INDEX(Producer!$L:$L,MATCH($D179,Producer!$A:$A,0))="No",INDEX(Producer!$C:$C,MATCH($D179,Producer!$A:$A,0))="Fixed"),"Flexit ",""),INDEX(Producer!$B:$B,MATCH($D179,Producer!$A:$A,0))," Year ",INDEX(Producer!$C:$C,MATCH($D179,Producer!$A:$A,0))," ",VALUE(INDEX(Producer!$E:$E,MATCH($D179,Producer!$A:$A,0)))*100,"% LTV",IF(INDEX(Producer!$N:$N,MATCH($D179,Producer!$A:$A,0))="Yes"," (EPC A-C)","")," - ",IF(INDEX(Producer!$D:$D,MATCH($D179,Producer!$A:$A,0))="DLY","Daily","Annual")),"")</f>
        <v/>
      </c>
      <c r="C179" s="146" t="str">
        <f>_xlfn.IFNA(INDEX(Producer!$Q:$Q,MATCH($D179,Producer!$A:$A,0)),"")</f>
        <v/>
      </c>
      <c r="D179" s="146" t="str">
        <f>IFERROR(VALUE(MID(Producer!$R$2,IF($D178="",1/0,FIND(_xlfn.CONCAT($D177,$D178),Producer!$R$2)+10),5)),"")</f>
        <v/>
      </c>
      <c r="E179" s="146" t="str">
        <f t="shared" si="57"/>
        <v/>
      </c>
      <c r="F179" s="146"/>
      <c r="G179" s="147" t="str">
        <f>_xlfn.IFNA(VALUE(INDEX(Producer!$F:$F,MATCH($D179,Producer!$A:$A,0)))*100,"")</f>
        <v/>
      </c>
      <c r="H179" s="216" t="str">
        <f>_xlfn.IFNA(IFERROR(DATEVALUE(INDEX(Producer!$M:$M,MATCH($D179,Producer!$A:$A,0))),(INDEX(Producer!$M:$M,MATCH($D179,Producer!$A:$A,0)))),"")</f>
        <v/>
      </c>
      <c r="I179" s="217" t="str">
        <f>_xlfn.IFNA(VALUE(INDEX(Producer!$B:$B,MATCH($D179,Producer!$A:$A,0)))*12,"")</f>
        <v/>
      </c>
      <c r="J179" s="146" t="str">
        <f>_xlfn.IFNA(IF(C179="Residential",IF(VALUE(INDEX(Producer!$B:$B,MATCH($D179,Producer!$A:$A,0)))&lt;5,Constants!$C$10,""),IF(VALUE(INDEX(Producer!$B:$B,MATCH($D179,Producer!$A:$A,0)))&lt;5,Constants!$C$11,"")),"")</f>
        <v/>
      </c>
      <c r="K179" s="216" t="str">
        <f>_xlfn.IFNA(IF(($I179)&lt;60,DATE(YEAR(H179)+(5-VALUE(INDEX(Producer!$B:$B,MATCH($D179,Producer!$A:$A,0)))),MONTH(H179),DAY(H179)),""),"")</f>
        <v/>
      </c>
      <c r="L179" s="153" t="str">
        <f t="shared" si="58"/>
        <v/>
      </c>
      <c r="M179" s="146"/>
      <c r="N179" s="148"/>
      <c r="O179" s="148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6"/>
      <c r="AK179" s="146" t="str">
        <f>IF(D179="","",IF(C179="Residential",Constants!$B$10,Constants!$B$11))</f>
        <v/>
      </c>
      <c r="AL179" s="146" t="str">
        <f t="shared" si="59"/>
        <v/>
      </c>
      <c r="AM179" s="206" t="str">
        <f t="shared" si="60"/>
        <v/>
      </c>
      <c r="AN179" s="146" t="str">
        <f t="shared" si="61"/>
        <v/>
      </c>
      <c r="AO179" s="149" t="str">
        <f t="shared" si="62"/>
        <v/>
      </c>
      <c r="AP179" s="150" t="str">
        <f t="shared" si="63"/>
        <v/>
      </c>
      <c r="AQ179" s="146" t="str">
        <f>IFERROR(_xlfn.IFNA(IF($BA179="No",0,IF(INDEX(Constants!B:B,MATCH(($I179/12),Constants!$A:$A,0))=0,0,INDEX(Constants!B:B,MATCH(($I179/12),Constants!$A:$A,0)))),0),"")</f>
        <v/>
      </c>
      <c r="AR179" s="146" t="str">
        <f>IFERROR(_xlfn.IFNA(IF($BA179="No",0,IF(INDEX(Constants!C:C,MATCH(($I179/12),Constants!$A:$A,0))=0,0,INDEX(Constants!C:C,MATCH(($I179/12),Constants!$A:$A,0)))),0),"")</f>
        <v/>
      </c>
      <c r="AS179" s="146" t="str">
        <f>IFERROR(_xlfn.IFNA(IF($BA179="No",0,IF(INDEX(Constants!D:D,MATCH(($I179/12),Constants!$A:$A,0))=0,0,INDEX(Constants!D:D,MATCH(($I179/12),Constants!$A:$A,0)))),0),"")</f>
        <v/>
      </c>
      <c r="AT179" s="146" t="str">
        <f>IFERROR(_xlfn.IFNA(IF($BA179="No",0,IF(INDEX(Constants!E:E,MATCH(($I179/12),Constants!$A:$A,0))=0,0,INDEX(Constants!E:E,MATCH(($I179/12),Constants!$A:$A,0)))),0),"")</f>
        <v/>
      </c>
      <c r="AU179" s="146" t="str">
        <f>IFERROR(_xlfn.IFNA(IF($BA179="No",0,IF(INDEX(Constants!F:F,MATCH(($I179/12),Constants!$A:$A,0))=0,0,INDEX(Constants!F:F,MATCH(($I179/12),Constants!$A:$A,0)))),0),"")</f>
        <v/>
      </c>
      <c r="AV179" s="146" t="str">
        <f>IFERROR(_xlfn.IFNA(IF($BA179="No",0,IF(INDEX(Constants!G:G,MATCH(($I179/12),Constants!$A:$A,0))=0,0,INDEX(Constants!G:G,MATCH(($I179/12),Constants!$A:$A,0)))),0),"")</f>
        <v/>
      </c>
      <c r="AW179" s="146" t="str">
        <f>IFERROR(_xlfn.IFNA(IF($BA179="No",0,IF(INDEX(Constants!H:H,MATCH(($I179/12),Constants!$A:$A,0))=0,0,INDEX(Constants!H:H,MATCH(($I179/12),Constants!$A:$A,0)))),0),"")</f>
        <v/>
      </c>
      <c r="AX179" s="146" t="str">
        <f>IFERROR(_xlfn.IFNA(IF($BA179="No",0,IF(INDEX(Constants!I:I,MATCH(($I179/12),Constants!$A:$A,0))=0,0,INDEX(Constants!I:I,MATCH(($I179/12),Constants!$A:$A,0)))),0),"")</f>
        <v/>
      </c>
      <c r="AY179" s="146" t="str">
        <f>IFERROR(_xlfn.IFNA(IF($BA179="No",0,IF(INDEX(Constants!J:J,MATCH(($I179/12),Constants!$A:$A,0))=0,0,INDEX(Constants!J:J,MATCH(($I179/12),Constants!$A:$A,0)))),0),"")</f>
        <v/>
      </c>
      <c r="AZ179" s="146" t="str">
        <f>IFERROR(_xlfn.IFNA(IF($BA179="No",0,IF(INDEX(Constants!K:K,MATCH(($I179/12),Constants!$A:$A,0))=0,0,INDEX(Constants!K:K,MATCH(($I179/12),Constants!$A:$A,0)))),0),"")</f>
        <v/>
      </c>
      <c r="BA179" s="147" t="str">
        <f>_xlfn.IFNA(INDEX(Producer!$L:$L,MATCH($D179,Producer!$A:$A,0)),"")</f>
        <v/>
      </c>
      <c r="BB179" s="146" t="str">
        <f>IFERROR(IF(AQ179=0,"",IF(($I179/12)=15,_xlfn.CONCAT(Constants!$N$7,TEXT(DATE(YEAR(H179)-(($I179/12)-3),MONTH(H179),DAY(H179)),"dd/mm/yyyy"),", ",Constants!$P$7,TEXT(DATE(YEAR(H179)-(($I179/12)-8),MONTH(H179),DAY(H179)),"dd/mm/yyyy"),", ",Constants!$T$7,TEXT(DATE(YEAR(H179)-(($I179/12)-11),MONTH(H179),DAY(H179)),"dd/mm/yyyy"),", ",Constants!$V$7,TEXT(DATE(YEAR(H179)-(($I179/12)-13),MONTH(H179),DAY(H179)),"dd/mm/yyyy"),", ",Constants!$W$7,TEXT($H179,"dd/mm/yyyy")),IF(($I179/12)=10,_xlfn.CONCAT(Constants!$N$6,TEXT(DATE(YEAR(H179)-(($I179/12)-2),MONTH(H179),DAY(H179)),"dd/mm/yyyy"),", ",Constants!$P$6,TEXT(DATE(YEAR(H179)-(($I179/12)-6),MONTH(H179),DAY(H179)),"dd/mm/yyyy"),", ",Constants!$T$6,TEXT(DATE(YEAR(H179)-(($I179/12)-8),MONTH(H179),DAY(H179)),"dd/mm/yyyy"),", ",Constants!$V$6,TEXT(DATE(YEAR(H179)-(($I179/12)-9),MONTH(H179),DAY(H179)),"dd/mm/yyyy"),", ",Constants!$W$6,TEXT($H179,"dd/mm/yyyy")),IF(($I179/12)=5,_xlfn.CONCAT(Constants!$N$5,TEXT(DATE(YEAR(H179)-(($I179/12)-1),MONTH(H179),DAY(H179)),"dd/mm/yyyy"),", ",Constants!$O$5,TEXT(DATE(YEAR(H179)-(($I179/12)-2),MONTH(H179),DAY(H179)),"dd/mm/yyyy"),", ",Constants!$P$5,TEXT(DATE(YEAR(H179)-(($I179/12)-3),MONTH(H179),DAY(H179)),"dd/mm/yyyy"),", ",Constants!$Q$5,TEXT(DATE(YEAR(H179)-(($I179/12)-4),MONTH(H179),DAY(H179)),"dd/mm/yyyy"),", ",Constants!$R$5,TEXT($H179,"dd/mm/yyyy")),IF(($I179/12)=3,_xlfn.CONCAT(Constants!$N$4,TEXT(DATE(YEAR(H179)-(($I179/12)-1),MONTH(H179),DAY(H179)),"dd/mm/yyyy"),", ",Constants!$O$4,TEXT(DATE(YEAR(H179)-(($I179/12)-2),MONTH(H179),DAY(H179)),"dd/mm/yyyy"),", ",Constants!$P$4,TEXT($H179,"dd/mm/yyyy")),IF(($I179/12)=2,_xlfn.CONCAT(Constants!$N$3,TEXT(DATE(YEAR(H179)-(($I179/12)-1),MONTH(H179),DAY(H179)),"dd/mm/yyyy"),", ",Constants!$O$3,TEXT($H179,"dd/mm/yyyy")),IF(($I179/12)=1,_xlfn.CONCAT(Constants!$N$2,TEXT($H179,"dd/mm/yyyy")),"Update Constants"))))))),"")</f>
        <v/>
      </c>
      <c r="BC179" s="147" t="str">
        <f>_xlfn.IFNA(VALUE(INDEX(Producer!$K:$K,MATCH($D179,Producer!$A:$A,0))),"")</f>
        <v/>
      </c>
      <c r="BD179" s="147" t="str">
        <f>_xlfn.IFNA(INDEX(Producer!$I:$I,MATCH($D179,Producer!$A:$A,0)),"")</f>
        <v/>
      </c>
      <c r="BE179" s="147" t="str">
        <f t="shared" si="64"/>
        <v/>
      </c>
      <c r="BF179" s="147"/>
      <c r="BG179" s="147"/>
      <c r="BH179" s="151" t="str">
        <f>_xlfn.IFNA(INDEX(Constants!$B:$B,MATCH(BC179,Constants!A:A,0)),"")</f>
        <v/>
      </c>
      <c r="BI179" s="147" t="str">
        <f>IF(LEFT(B179,15)="Limited Company",Constants!$D$16,IFERROR(_xlfn.IFNA(IF(C179="Residential",IF(BK179&lt;75,INDEX(Constants!$B:$B,MATCH(VALUE(60)/100,Constants!$A:$A,0)),INDEX(Constants!$B:$B,MATCH(VALUE(BK179)/100,Constants!$A:$A,0))),IF(BK179&lt;60,INDEX(Constants!$C:$C,MATCH(VALUE(60)/100,Constants!$A:$A,0)),INDEX(Constants!$C:$C,MATCH(VALUE(BK179)/100,Constants!$A:$A,0)))),""),""))</f>
        <v/>
      </c>
      <c r="BJ179" s="147" t="str">
        <f t="shared" si="65"/>
        <v/>
      </c>
      <c r="BK179" s="147" t="str">
        <f>_xlfn.IFNA(VALUE(INDEX(Producer!$E:$E,MATCH($D179,Producer!$A:$A,0)))*100,"")</f>
        <v/>
      </c>
      <c r="BL179" s="146" t="str">
        <f>_xlfn.IFNA(IF(IFERROR(FIND("Part &amp; Part",B179),-10)&gt;0,"PP",IF(OR(LEFT(B179,25)="Residential Interest Only",INDEX(Producer!$P:$P,MATCH($D179,Producer!$A:$A,0))="IO",INDEX(Producer!$P:$P,MATCH($D179,Producer!$A:$A,0))="Retirement Interest Only"),"IO",IF($C179="BuyToLet","CI, IO","CI"))),"")</f>
        <v/>
      </c>
      <c r="BM179" s="152" t="str">
        <f>_xlfn.IFNA(IF(BL179="IO",100%,IF(AND(INDEX(Producer!$P:$P,MATCH($D179,Producer!$A:$A,0))="Residential Interest Only Part &amp; Part",BK179=75),80%,IF(C179="BuyToLet",100%,IF(BL179="Interest Only",100%,IF(AND(INDEX(Producer!$P:$P,MATCH($D179,Producer!$A:$A,0))="Residential Interest Only Part &amp; Part",BK179=60),100%,""))))),"")</f>
        <v/>
      </c>
      <c r="BN179" s="218" t="str">
        <f>_xlfn.IFNA(IF(VALUE(INDEX(Producer!$H:$H,MATCH($D179,Producer!$A:$A,0)))=0,"",VALUE(INDEX(Producer!$H:$H,MATCH($D179,Producer!$A:$A,0)))),"")</f>
        <v/>
      </c>
      <c r="BO179" s="153"/>
      <c r="BP179" s="153"/>
      <c r="BQ179" s="219" t="str">
        <f t="shared" si="66"/>
        <v/>
      </c>
      <c r="BR179" s="146"/>
      <c r="BS179" s="146"/>
      <c r="BT179" s="146"/>
      <c r="BU179" s="146"/>
      <c r="BV179" s="219" t="str">
        <f t="shared" si="67"/>
        <v/>
      </c>
      <c r="BW179" s="146"/>
      <c r="BX179" s="146"/>
      <c r="BY179" s="146" t="str">
        <f t="shared" si="68"/>
        <v/>
      </c>
      <c r="BZ179" s="146" t="str">
        <f t="shared" si="69"/>
        <v/>
      </c>
      <c r="CA179" s="146" t="str">
        <f t="shared" si="70"/>
        <v/>
      </c>
      <c r="CB179" s="146" t="str">
        <f t="shared" si="71"/>
        <v/>
      </c>
      <c r="CC179" s="146" t="str">
        <f>_xlfn.IFNA(IF(INDEX(Producer!$P:$P,MATCH($D179,Producer!$A:$A,0))="Help to Buy","Only available","No"),"")</f>
        <v/>
      </c>
      <c r="CD179" s="146" t="str">
        <f>_xlfn.IFNA(IF(INDEX(Producer!$P:$P,MATCH($D179,Producer!$A:$A,0))="Shared Ownership","Only available","No"),"")</f>
        <v/>
      </c>
      <c r="CE179" s="146" t="str">
        <f>_xlfn.IFNA(IF(INDEX(Producer!$P:$P,MATCH($D179,Producer!$A:$A,0))="Right to Buy","Only available","No"),"")</f>
        <v/>
      </c>
      <c r="CF179" s="146" t="str">
        <f t="shared" si="72"/>
        <v/>
      </c>
      <c r="CG179" s="146" t="str">
        <f>_xlfn.IFNA(IF(INDEX(Producer!$P:$P,MATCH($D179,Producer!$A:$A,0))="Retirement Interest Only","Only available","No"),"")</f>
        <v/>
      </c>
      <c r="CH179" s="146" t="str">
        <f t="shared" si="73"/>
        <v/>
      </c>
      <c r="CI179" s="146" t="str">
        <f>_xlfn.IFNA(IF(INDEX(Producer!$P:$P,MATCH($D179,Producer!$A:$A,0))="Intermediary Holiday Let","Only available","No"),"")</f>
        <v/>
      </c>
      <c r="CJ179" s="146" t="str">
        <f t="shared" si="74"/>
        <v/>
      </c>
      <c r="CK179" s="146" t="str">
        <f>_xlfn.IFNA(IF(OR(INDEX(Producer!$P:$P,MATCH($D179,Producer!$A:$A,0))="Intermediary Small HMO",INDEX(Producer!$P:$P,MATCH($D179,Producer!$A:$A,0))="Intermediary Large HMO"),"Only available","No"),"")</f>
        <v/>
      </c>
      <c r="CL179" s="146" t="str">
        <f t="shared" si="75"/>
        <v/>
      </c>
      <c r="CM179" s="146" t="str">
        <f t="shared" si="76"/>
        <v/>
      </c>
      <c r="CN179" s="146" t="str">
        <f t="shared" si="77"/>
        <v/>
      </c>
      <c r="CO179" s="146" t="str">
        <f t="shared" si="78"/>
        <v/>
      </c>
      <c r="CP179" s="146" t="str">
        <f t="shared" si="79"/>
        <v/>
      </c>
      <c r="CQ179" s="146" t="str">
        <f t="shared" si="80"/>
        <v/>
      </c>
      <c r="CR179" s="146" t="str">
        <f t="shared" si="81"/>
        <v/>
      </c>
      <c r="CS179" s="146" t="str">
        <f t="shared" si="82"/>
        <v/>
      </c>
      <c r="CT179" s="146" t="str">
        <f t="shared" si="83"/>
        <v/>
      </c>
      <c r="CU179" s="146"/>
    </row>
    <row r="180" spans="1:99" ht="16.399999999999999" customHeight="1" x14ac:dyDescent="0.35">
      <c r="A180" s="145" t="str">
        <f t="shared" si="56"/>
        <v/>
      </c>
      <c r="B180" s="145" t="str">
        <f>_xlfn.IFNA(_xlfn.CONCAT(INDEX(Producer!$P:$P,MATCH($D180,Producer!$A:$A,0))," ",IF(INDEX(Producer!$N:$N,MATCH($D180,Producer!$A:$A,0))="Yes","Green ",""),IF(AND(INDEX(Producer!$L:$L,MATCH($D180,Producer!$A:$A,0))="No",INDEX(Producer!$C:$C,MATCH($D180,Producer!$A:$A,0))="Fixed"),"Flexit ",""),INDEX(Producer!$B:$B,MATCH($D180,Producer!$A:$A,0))," Year ",INDEX(Producer!$C:$C,MATCH($D180,Producer!$A:$A,0))," ",VALUE(INDEX(Producer!$E:$E,MATCH($D180,Producer!$A:$A,0)))*100,"% LTV",IF(INDEX(Producer!$N:$N,MATCH($D180,Producer!$A:$A,0))="Yes"," (EPC A-C)","")," - ",IF(INDEX(Producer!$D:$D,MATCH($D180,Producer!$A:$A,0))="DLY","Daily","Annual")),"")</f>
        <v/>
      </c>
      <c r="C180" s="146" t="str">
        <f>_xlfn.IFNA(INDEX(Producer!$Q:$Q,MATCH($D180,Producer!$A:$A,0)),"")</f>
        <v/>
      </c>
      <c r="D180" s="146" t="str">
        <f>IFERROR(VALUE(MID(Producer!$R$2,IF($D179="",1/0,FIND(_xlfn.CONCAT($D178,$D179),Producer!$R$2)+10),5)),"")</f>
        <v/>
      </c>
      <c r="E180" s="146" t="str">
        <f t="shared" si="57"/>
        <v/>
      </c>
      <c r="F180" s="146"/>
      <c r="G180" s="147" t="str">
        <f>_xlfn.IFNA(VALUE(INDEX(Producer!$F:$F,MATCH($D180,Producer!$A:$A,0)))*100,"")</f>
        <v/>
      </c>
      <c r="H180" s="216" t="str">
        <f>_xlfn.IFNA(IFERROR(DATEVALUE(INDEX(Producer!$M:$M,MATCH($D180,Producer!$A:$A,0))),(INDEX(Producer!$M:$M,MATCH($D180,Producer!$A:$A,0)))),"")</f>
        <v/>
      </c>
      <c r="I180" s="217" t="str">
        <f>_xlfn.IFNA(VALUE(INDEX(Producer!$B:$B,MATCH($D180,Producer!$A:$A,0)))*12,"")</f>
        <v/>
      </c>
      <c r="J180" s="146" t="str">
        <f>_xlfn.IFNA(IF(C180="Residential",IF(VALUE(INDEX(Producer!$B:$B,MATCH($D180,Producer!$A:$A,0)))&lt;5,Constants!$C$10,""),IF(VALUE(INDEX(Producer!$B:$B,MATCH($D180,Producer!$A:$A,0)))&lt;5,Constants!$C$11,"")),"")</f>
        <v/>
      </c>
      <c r="K180" s="216" t="str">
        <f>_xlfn.IFNA(IF(($I180)&lt;60,DATE(YEAR(H180)+(5-VALUE(INDEX(Producer!$B:$B,MATCH($D180,Producer!$A:$A,0)))),MONTH(H180),DAY(H180)),""),"")</f>
        <v/>
      </c>
      <c r="L180" s="153" t="str">
        <f t="shared" si="58"/>
        <v/>
      </c>
      <c r="M180" s="146"/>
      <c r="N180" s="148"/>
      <c r="O180" s="148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6"/>
      <c r="AK180" s="146" t="str">
        <f>IF(D180="","",IF(C180="Residential",Constants!$B$10,Constants!$B$11))</f>
        <v/>
      </c>
      <c r="AL180" s="146" t="str">
        <f t="shared" si="59"/>
        <v/>
      </c>
      <c r="AM180" s="206" t="str">
        <f t="shared" si="60"/>
        <v/>
      </c>
      <c r="AN180" s="146" t="str">
        <f t="shared" si="61"/>
        <v/>
      </c>
      <c r="AO180" s="149" t="str">
        <f t="shared" si="62"/>
        <v/>
      </c>
      <c r="AP180" s="150" t="str">
        <f t="shared" si="63"/>
        <v/>
      </c>
      <c r="AQ180" s="146" t="str">
        <f>IFERROR(_xlfn.IFNA(IF($BA180="No",0,IF(INDEX(Constants!B:B,MATCH(($I180/12),Constants!$A:$A,0))=0,0,INDEX(Constants!B:B,MATCH(($I180/12),Constants!$A:$A,0)))),0),"")</f>
        <v/>
      </c>
      <c r="AR180" s="146" t="str">
        <f>IFERROR(_xlfn.IFNA(IF($BA180="No",0,IF(INDEX(Constants!C:C,MATCH(($I180/12),Constants!$A:$A,0))=0,0,INDEX(Constants!C:C,MATCH(($I180/12),Constants!$A:$A,0)))),0),"")</f>
        <v/>
      </c>
      <c r="AS180" s="146" t="str">
        <f>IFERROR(_xlfn.IFNA(IF($BA180="No",0,IF(INDEX(Constants!D:D,MATCH(($I180/12),Constants!$A:$A,0))=0,0,INDEX(Constants!D:D,MATCH(($I180/12),Constants!$A:$A,0)))),0),"")</f>
        <v/>
      </c>
      <c r="AT180" s="146" t="str">
        <f>IFERROR(_xlfn.IFNA(IF($BA180="No",0,IF(INDEX(Constants!E:E,MATCH(($I180/12),Constants!$A:$A,0))=0,0,INDEX(Constants!E:E,MATCH(($I180/12),Constants!$A:$A,0)))),0),"")</f>
        <v/>
      </c>
      <c r="AU180" s="146" t="str">
        <f>IFERROR(_xlfn.IFNA(IF($BA180="No",0,IF(INDEX(Constants!F:F,MATCH(($I180/12),Constants!$A:$A,0))=0,0,INDEX(Constants!F:F,MATCH(($I180/12),Constants!$A:$A,0)))),0),"")</f>
        <v/>
      </c>
      <c r="AV180" s="146" t="str">
        <f>IFERROR(_xlfn.IFNA(IF($BA180="No",0,IF(INDEX(Constants!G:G,MATCH(($I180/12),Constants!$A:$A,0))=0,0,INDEX(Constants!G:G,MATCH(($I180/12),Constants!$A:$A,0)))),0),"")</f>
        <v/>
      </c>
      <c r="AW180" s="146" t="str">
        <f>IFERROR(_xlfn.IFNA(IF($BA180="No",0,IF(INDEX(Constants!H:H,MATCH(($I180/12),Constants!$A:$A,0))=0,0,INDEX(Constants!H:H,MATCH(($I180/12),Constants!$A:$A,0)))),0),"")</f>
        <v/>
      </c>
      <c r="AX180" s="146" t="str">
        <f>IFERROR(_xlfn.IFNA(IF($BA180="No",0,IF(INDEX(Constants!I:I,MATCH(($I180/12),Constants!$A:$A,0))=0,0,INDEX(Constants!I:I,MATCH(($I180/12),Constants!$A:$A,0)))),0),"")</f>
        <v/>
      </c>
      <c r="AY180" s="146" t="str">
        <f>IFERROR(_xlfn.IFNA(IF($BA180="No",0,IF(INDEX(Constants!J:J,MATCH(($I180/12),Constants!$A:$A,0))=0,0,INDEX(Constants!J:J,MATCH(($I180/12),Constants!$A:$A,0)))),0),"")</f>
        <v/>
      </c>
      <c r="AZ180" s="146" t="str">
        <f>IFERROR(_xlfn.IFNA(IF($BA180="No",0,IF(INDEX(Constants!K:K,MATCH(($I180/12),Constants!$A:$A,0))=0,0,INDEX(Constants!K:K,MATCH(($I180/12),Constants!$A:$A,0)))),0),"")</f>
        <v/>
      </c>
      <c r="BA180" s="147" t="str">
        <f>_xlfn.IFNA(INDEX(Producer!$L:$L,MATCH($D180,Producer!$A:$A,0)),"")</f>
        <v/>
      </c>
      <c r="BB180" s="146" t="str">
        <f>IFERROR(IF(AQ180=0,"",IF(($I180/12)=15,_xlfn.CONCAT(Constants!$N$7,TEXT(DATE(YEAR(H180)-(($I180/12)-3),MONTH(H180),DAY(H180)),"dd/mm/yyyy"),", ",Constants!$P$7,TEXT(DATE(YEAR(H180)-(($I180/12)-8),MONTH(H180),DAY(H180)),"dd/mm/yyyy"),", ",Constants!$T$7,TEXT(DATE(YEAR(H180)-(($I180/12)-11),MONTH(H180),DAY(H180)),"dd/mm/yyyy"),", ",Constants!$V$7,TEXT(DATE(YEAR(H180)-(($I180/12)-13),MONTH(H180),DAY(H180)),"dd/mm/yyyy"),", ",Constants!$W$7,TEXT($H180,"dd/mm/yyyy")),IF(($I180/12)=10,_xlfn.CONCAT(Constants!$N$6,TEXT(DATE(YEAR(H180)-(($I180/12)-2),MONTH(H180),DAY(H180)),"dd/mm/yyyy"),", ",Constants!$P$6,TEXT(DATE(YEAR(H180)-(($I180/12)-6),MONTH(H180),DAY(H180)),"dd/mm/yyyy"),", ",Constants!$T$6,TEXT(DATE(YEAR(H180)-(($I180/12)-8),MONTH(H180),DAY(H180)),"dd/mm/yyyy"),", ",Constants!$V$6,TEXT(DATE(YEAR(H180)-(($I180/12)-9),MONTH(H180),DAY(H180)),"dd/mm/yyyy"),", ",Constants!$W$6,TEXT($H180,"dd/mm/yyyy")),IF(($I180/12)=5,_xlfn.CONCAT(Constants!$N$5,TEXT(DATE(YEAR(H180)-(($I180/12)-1),MONTH(H180),DAY(H180)),"dd/mm/yyyy"),", ",Constants!$O$5,TEXT(DATE(YEAR(H180)-(($I180/12)-2),MONTH(H180),DAY(H180)),"dd/mm/yyyy"),", ",Constants!$P$5,TEXT(DATE(YEAR(H180)-(($I180/12)-3),MONTH(H180),DAY(H180)),"dd/mm/yyyy"),", ",Constants!$Q$5,TEXT(DATE(YEAR(H180)-(($I180/12)-4),MONTH(H180),DAY(H180)),"dd/mm/yyyy"),", ",Constants!$R$5,TEXT($H180,"dd/mm/yyyy")),IF(($I180/12)=3,_xlfn.CONCAT(Constants!$N$4,TEXT(DATE(YEAR(H180)-(($I180/12)-1),MONTH(H180),DAY(H180)),"dd/mm/yyyy"),", ",Constants!$O$4,TEXT(DATE(YEAR(H180)-(($I180/12)-2),MONTH(H180),DAY(H180)),"dd/mm/yyyy"),", ",Constants!$P$4,TEXT($H180,"dd/mm/yyyy")),IF(($I180/12)=2,_xlfn.CONCAT(Constants!$N$3,TEXT(DATE(YEAR(H180)-(($I180/12)-1),MONTH(H180),DAY(H180)),"dd/mm/yyyy"),", ",Constants!$O$3,TEXT($H180,"dd/mm/yyyy")),IF(($I180/12)=1,_xlfn.CONCAT(Constants!$N$2,TEXT($H180,"dd/mm/yyyy")),"Update Constants"))))))),"")</f>
        <v/>
      </c>
      <c r="BC180" s="147" t="str">
        <f>_xlfn.IFNA(VALUE(INDEX(Producer!$K:$K,MATCH($D180,Producer!$A:$A,0))),"")</f>
        <v/>
      </c>
      <c r="BD180" s="147" t="str">
        <f>_xlfn.IFNA(INDEX(Producer!$I:$I,MATCH($D180,Producer!$A:$A,0)),"")</f>
        <v/>
      </c>
      <c r="BE180" s="147" t="str">
        <f t="shared" si="64"/>
        <v/>
      </c>
      <c r="BF180" s="147"/>
      <c r="BG180" s="147"/>
      <c r="BH180" s="151" t="str">
        <f>_xlfn.IFNA(INDEX(Constants!$B:$B,MATCH(BC180,Constants!A:A,0)),"")</f>
        <v/>
      </c>
      <c r="BI180" s="147" t="str">
        <f>IF(LEFT(B180,15)="Limited Company",Constants!$D$16,IFERROR(_xlfn.IFNA(IF(C180="Residential",IF(BK180&lt;75,INDEX(Constants!$B:$B,MATCH(VALUE(60)/100,Constants!$A:$A,0)),INDEX(Constants!$B:$B,MATCH(VALUE(BK180)/100,Constants!$A:$A,0))),IF(BK180&lt;60,INDEX(Constants!$C:$C,MATCH(VALUE(60)/100,Constants!$A:$A,0)),INDEX(Constants!$C:$C,MATCH(VALUE(BK180)/100,Constants!$A:$A,0)))),""),""))</f>
        <v/>
      </c>
      <c r="BJ180" s="147" t="str">
        <f t="shared" si="65"/>
        <v/>
      </c>
      <c r="BK180" s="147" t="str">
        <f>_xlfn.IFNA(VALUE(INDEX(Producer!$E:$E,MATCH($D180,Producer!$A:$A,0)))*100,"")</f>
        <v/>
      </c>
      <c r="BL180" s="146" t="str">
        <f>_xlfn.IFNA(IF(IFERROR(FIND("Part &amp; Part",B180),-10)&gt;0,"PP",IF(OR(LEFT(B180,25)="Residential Interest Only",INDEX(Producer!$P:$P,MATCH($D180,Producer!$A:$A,0))="IO",INDEX(Producer!$P:$P,MATCH($D180,Producer!$A:$A,0))="Retirement Interest Only"),"IO",IF($C180="BuyToLet","CI, IO","CI"))),"")</f>
        <v/>
      </c>
      <c r="BM180" s="152" t="str">
        <f>_xlfn.IFNA(IF(BL180="IO",100%,IF(AND(INDEX(Producer!$P:$P,MATCH($D180,Producer!$A:$A,0))="Residential Interest Only Part &amp; Part",BK180=75),80%,IF(C180="BuyToLet",100%,IF(BL180="Interest Only",100%,IF(AND(INDEX(Producer!$P:$P,MATCH($D180,Producer!$A:$A,0))="Residential Interest Only Part &amp; Part",BK180=60),100%,""))))),"")</f>
        <v/>
      </c>
      <c r="BN180" s="218" t="str">
        <f>_xlfn.IFNA(IF(VALUE(INDEX(Producer!$H:$H,MATCH($D180,Producer!$A:$A,0)))=0,"",VALUE(INDEX(Producer!$H:$H,MATCH($D180,Producer!$A:$A,0)))),"")</f>
        <v/>
      </c>
      <c r="BO180" s="153"/>
      <c r="BP180" s="153"/>
      <c r="BQ180" s="219" t="str">
        <f t="shared" si="66"/>
        <v/>
      </c>
      <c r="BR180" s="146"/>
      <c r="BS180" s="146"/>
      <c r="BT180" s="146"/>
      <c r="BU180" s="146"/>
      <c r="BV180" s="219" t="str">
        <f t="shared" si="67"/>
        <v/>
      </c>
      <c r="BW180" s="146"/>
      <c r="BX180" s="146"/>
      <c r="BY180" s="146" t="str">
        <f t="shared" si="68"/>
        <v/>
      </c>
      <c r="BZ180" s="146" t="str">
        <f t="shared" si="69"/>
        <v/>
      </c>
      <c r="CA180" s="146" t="str">
        <f t="shared" si="70"/>
        <v/>
      </c>
      <c r="CB180" s="146" t="str">
        <f t="shared" si="71"/>
        <v/>
      </c>
      <c r="CC180" s="146" t="str">
        <f>_xlfn.IFNA(IF(INDEX(Producer!$P:$P,MATCH($D180,Producer!$A:$A,0))="Help to Buy","Only available","No"),"")</f>
        <v/>
      </c>
      <c r="CD180" s="146" t="str">
        <f>_xlfn.IFNA(IF(INDEX(Producer!$P:$P,MATCH($D180,Producer!$A:$A,0))="Shared Ownership","Only available","No"),"")</f>
        <v/>
      </c>
      <c r="CE180" s="146" t="str">
        <f>_xlfn.IFNA(IF(INDEX(Producer!$P:$P,MATCH($D180,Producer!$A:$A,0))="Right to Buy","Only available","No"),"")</f>
        <v/>
      </c>
      <c r="CF180" s="146" t="str">
        <f t="shared" si="72"/>
        <v/>
      </c>
      <c r="CG180" s="146" t="str">
        <f>_xlfn.IFNA(IF(INDEX(Producer!$P:$P,MATCH($D180,Producer!$A:$A,0))="Retirement Interest Only","Only available","No"),"")</f>
        <v/>
      </c>
      <c r="CH180" s="146" t="str">
        <f t="shared" si="73"/>
        <v/>
      </c>
      <c r="CI180" s="146" t="str">
        <f>_xlfn.IFNA(IF(INDEX(Producer!$P:$P,MATCH($D180,Producer!$A:$A,0))="Intermediary Holiday Let","Only available","No"),"")</f>
        <v/>
      </c>
      <c r="CJ180" s="146" t="str">
        <f t="shared" si="74"/>
        <v/>
      </c>
      <c r="CK180" s="146" t="str">
        <f>_xlfn.IFNA(IF(OR(INDEX(Producer!$P:$P,MATCH($D180,Producer!$A:$A,0))="Intermediary Small HMO",INDEX(Producer!$P:$P,MATCH($D180,Producer!$A:$A,0))="Intermediary Large HMO"),"Only available","No"),"")</f>
        <v/>
      </c>
      <c r="CL180" s="146" t="str">
        <f t="shared" si="75"/>
        <v/>
      </c>
      <c r="CM180" s="146" t="str">
        <f t="shared" si="76"/>
        <v/>
      </c>
      <c r="CN180" s="146" t="str">
        <f t="shared" si="77"/>
        <v/>
      </c>
      <c r="CO180" s="146" t="str">
        <f t="shared" si="78"/>
        <v/>
      </c>
      <c r="CP180" s="146" t="str">
        <f t="shared" si="79"/>
        <v/>
      </c>
      <c r="CQ180" s="146" t="str">
        <f t="shared" si="80"/>
        <v/>
      </c>
      <c r="CR180" s="146" t="str">
        <f t="shared" si="81"/>
        <v/>
      </c>
      <c r="CS180" s="146" t="str">
        <f t="shared" si="82"/>
        <v/>
      </c>
      <c r="CT180" s="146" t="str">
        <f t="shared" si="83"/>
        <v/>
      </c>
      <c r="CU180" s="146"/>
    </row>
    <row r="181" spans="1:99" ht="16.399999999999999" customHeight="1" x14ac:dyDescent="0.35">
      <c r="A181" s="145" t="str">
        <f t="shared" si="56"/>
        <v/>
      </c>
      <c r="B181" s="145" t="str">
        <f>_xlfn.IFNA(_xlfn.CONCAT(INDEX(Producer!$P:$P,MATCH($D181,Producer!$A:$A,0))," ",IF(INDEX(Producer!$N:$N,MATCH($D181,Producer!$A:$A,0))="Yes","Green ",""),IF(AND(INDEX(Producer!$L:$L,MATCH($D181,Producer!$A:$A,0))="No",INDEX(Producer!$C:$C,MATCH($D181,Producer!$A:$A,0))="Fixed"),"Flexit ",""),INDEX(Producer!$B:$B,MATCH($D181,Producer!$A:$A,0))," Year ",INDEX(Producer!$C:$C,MATCH($D181,Producer!$A:$A,0))," ",VALUE(INDEX(Producer!$E:$E,MATCH($D181,Producer!$A:$A,0)))*100,"% LTV",IF(INDEX(Producer!$N:$N,MATCH($D181,Producer!$A:$A,0))="Yes"," (EPC A-C)","")," - ",IF(INDEX(Producer!$D:$D,MATCH($D181,Producer!$A:$A,0))="DLY","Daily","Annual")),"")</f>
        <v/>
      </c>
      <c r="C181" s="146" t="str">
        <f>_xlfn.IFNA(INDEX(Producer!$Q:$Q,MATCH($D181,Producer!$A:$A,0)),"")</f>
        <v/>
      </c>
      <c r="D181" s="146" t="str">
        <f>IFERROR(VALUE(MID(Producer!$R$2,IF($D180="",1/0,FIND(_xlfn.CONCAT($D179,$D180),Producer!$R$2)+10),5)),"")</f>
        <v/>
      </c>
      <c r="E181" s="146" t="str">
        <f t="shared" si="57"/>
        <v/>
      </c>
      <c r="F181" s="146"/>
      <c r="G181" s="147" t="str">
        <f>_xlfn.IFNA(VALUE(INDEX(Producer!$F:$F,MATCH($D181,Producer!$A:$A,0)))*100,"")</f>
        <v/>
      </c>
      <c r="H181" s="216" t="str">
        <f>_xlfn.IFNA(IFERROR(DATEVALUE(INDEX(Producer!$M:$M,MATCH($D181,Producer!$A:$A,0))),(INDEX(Producer!$M:$M,MATCH($D181,Producer!$A:$A,0)))),"")</f>
        <v/>
      </c>
      <c r="I181" s="217" t="str">
        <f>_xlfn.IFNA(VALUE(INDEX(Producer!$B:$B,MATCH($D181,Producer!$A:$A,0)))*12,"")</f>
        <v/>
      </c>
      <c r="J181" s="146" t="str">
        <f>_xlfn.IFNA(IF(C181="Residential",IF(VALUE(INDEX(Producer!$B:$B,MATCH($D181,Producer!$A:$A,0)))&lt;5,Constants!$C$10,""),IF(VALUE(INDEX(Producer!$B:$B,MATCH($D181,Producer!$A:$A,0)))&lt;5,Constants!$C$11,"")),"")</f>
        <v/>
      </c>
      <c r="K181" s="216" t="str">
        <f>_xlfn.IFNA(IF(($I181)&lt;60,DATE(YEAR(H181)+(5-VALUE(INDEX(Producer!$B:$B,MATCH($D181,Producer!$A:$A,0)))),MONTH(H181),DAY(H181)),""),"")</f>
        <v/>
      </c>
      <c r="L181" s="153" t="str">
        <f t="shared" si="58"/>
        <v/>
      </c>
      <c r="M181" s="146"/>
      <c r="N181" s="148"/>
      <c r="O181" s="148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6"/>
      <c r="AK181" s="146" t="str">
        <f>IF(D181="","",IF(C181="Residential",Constants!$B$10,Constants!$B$11))</f>
        <v/>
      </c>
      <c r="AL181" s="146" t="str">
        <f t="shared" si="59"/>
        <v/>
      </c>
      <c r="AM181" s="206" t="str">
        <f t="shared" si="60"/>
        <v/>
      </c>
      <c r="AN181" s="146" t="str">
        <f t="shared" si="61"/>
        <v/>
      </c>
      <c r="AO181" s="149" t="str">
        <f t="shared" si="62"/>
        <v/>
      </c>
      <c r="AP181" s="150" t="str">
        <f t="shared" si="63"/>
        <v/>
      </c>
      <c r="AQ181" s="146" t="str">
        <f>IFERROR(_xlfn.IFNA(IF($BA181="No",0,IF(INDEX(Constants!B:B,MATCH(($I181/12),Constants!$A:$A,0))=0,0,INDEX(Constants!B:B,MATCH(($I181/12),Constants!$A:$A,0)))),0),"")</f>
        <v/>
      </c>
      <c r="AR181" s="146" t="str">
        <f>IFERROR(_xlfn.IFNA(IF($BA181="No",0,IF(INDEX(Constants!C:C,MATCH(($I181/12),Constants!$A:$A,0))=0,0,INDEX(Constants!C:C,MATCH(($I181/12),Constants!$A:$A,0)))),0),"")</f>
        <v/>
      </c>
      <c r="AS181" s="146" t="str">
        <f>IFERROR(_xlfn.IFNA(IF($BA181="No",0,IF(INDEX(Constants!D:D,MATCH(($I181/12),Constants!$A:$A,0))=0,0,INDEX(Constants!D:D,MATCH(($I181/12),Constants!$A:$A,0)))),0),"")</f>
        <v/>
      </c>
      <c r="AT181" s="146" t="str">
        <f>IFERROR(_xlfn.IFNA(IF($BA181="No",0,IF(INDEX(Constants!E:E,MATCH(($I181/12),Constants!$A:$A,0))=0,0,INDEX(Constants!E:E,MATCH(($I181/12),Constants!$A:$A,0)))),0),"")</f>
        <v/>
      </c>
      <c r="AU181" s="146" t="str">
        <f>IFERROR(_xlfn.IFNA(IF($BA181="No",0,IF(INDEX(Constants!F:F,MATCH(($I181/12),Constants!$A:$A,0))=0,0,INDEX(Constants!F:F,MATCH(($I181/12),Constants!$A:$A,0)))),0),"")</f>
        <v/>
      </c>
      <c r="AV181" s="146" t="str">
        <f>IFERROR(_xlfn.IFNA(IF($BA181="No",0,IF(INDEX(Constants!G:G,MATCH(($I181/12),Constants!$A:$A,0))=0,0,INDEX(Constants!G:G,MATCH(($I181/12),Constants!$A:$A,0)))),0),"")</f>
        <v/>
      </c>
      <c r="AW181" s="146" t="str">
        <f>IFERROR(_xlfn.IFNA(IF($BA181="No",0,IF(INDEX(Constants!H:H,MATCH(($I181/12),Constants!$A:$A,0))=0,0,INDEX(Constants!H:H,MATCH(($I181/12),Constants!$A:$A,0)))),0),"")</f>
        <v/>
      </c>
      <c r="AX181" s="146" t="str">
        <f>IFERROR(_xlfn.IFNA(IF($BA181="No",0,IF(INDEX(Constants!I:I,MATCH(($I181/12),Constants!$A:$A,0))=0,0,INDEX(Constants!I:I,MATCH(($I181/12),Constants!$A:$A,0)))),0),"")</f>
        <v/>
      </c>
      <c r="AY181" s="146" t="str">
        <f>IFERROR(_xlfn.IFNA(IF($BA181="No",0,IF(INDEX(Constants!J:J,MATCH(($I181/12),Constants!$A:$A,0))=0,0,INDEX(Constants!J:J,MATCH(($I181/12),Constants!$A:$A,0)))),0),"")</f>
        <v/>
      </c>
      <c r="AZ181" s="146" t="str">
        <f>IFERROR(_xlfn.IFNA(IF($BA181="No",0,IF(INDEX(Constants!K:K,MATCH(($I181/12),Constants!$A:$A,0))=0,0,INDEX(Constants!K:K,MATCH(($I181/12),Constants!$A:$A,0)))),0),"")</f>
        <v/>
      </c>
      <c r="BA181" s="147" t="str">
        <f>_xlfn.IFNA(INDEX(Producer!$L:$L,MATCH($D181,Producer!$A:$A,0)),"")</f>
        <v/>
      </c>
      <c r="BB181" s="146" t="str">
        <f>IFERROR(IF(AQ181=0,"",IF(($I181/12)=15,_xlfn.CONCAT(Constants!$N$7,TEXT(DATE(YEAR(H181)-(($I181/12)-3),MONTH(H181),DAY(H181)),"dd/mm/yyyy"),", ",Constants!$P$7,TEXT(DATE(YEAR(H181)-(($I181/12)-8),MONTH(H181),DAY(H181)),"dd/mm/yyyy"),", ",Constants!$T$7,TEXT(DATE(YEAR(H181)-(($I181/12)-11),MONTH(H181),DAY(H181)),"dd/mm/yyyy"),", ",Constants!$V$7,TEXT(DATE(YEAR(H181)-(($I181/12)-13),MONTH(H181),DAY(H181)),"dd/mm/yyyy"),", ",Constants!$W$7,TEXT($H181,"dd/mm/yyyy")),IF(($I181/12)=10,_xlfn.CONCAT(Constants!$N$6,TEXT(DATE(YEAR(H181)-(($I181/12)-2),MONTH(H181),DAY(H181)),"dd/mm/yyyy"),", ",Constants!$P$6,TEXT(DATE(YEAR(H181)-(($I181/12)-6),MONTH(H181),DAY(H181)),"dd/mm/yyyy"),", ",Constants!$T$6,TEXT(DATE(YEAR(H181)-(($I181/12)-8),MONTH(H181),DAY(H181)),"dd/mm/yyyy"),", ",Constants!$V$6,TEXT(DATE(YEAR(H181)-(($I181/12)-9),MONTH(H181),DAY(H181)),"dd/mm/yyyy"),", ",Constants!$W$6,TEXT($H181,"dd/mm/yyyy")),IF(($I181/12)=5,_xlfn.CONCAT(Constants!$N$5,TEXT(DATE(YEAR(H181)-(($I181/12)-1),MONTH(H181),DAY(H181)),"dd/mm/yyyy"),", ",Constants!$O$5,TEXT(DATE(YEAR(H181)-(($I181/12)-2),MONTH(H181),DAY(H181)),"dd/mm/yyyy"),", ",Constants!$P$5,TEXT(DATE(YEAR(H181)-(($I181/12)-3),MONTH(H181),DAY(H181)),"dd/mm/yyyy"),", ",Constants!$Q$5,TEXT(DATE(YEAR(H181)-(($I181/12)-4),MONTH(H181),DAY(H181)),"dd/mm/yyyy"),", ",Constants!$R$5,TEXT($H181,"dd/mm/yyyy")),IF(($I181/12)=3,_xlfn.CONCAT(Constants!$N$4,TEXT(DATE(YEAR(H181)-(($I181/12)-1),MONTH(H181),DAY(H181)),"dd/mm/yyyy"),", ",Constants!$O$4,TEXT(DATE(YEAR(H181)-(($I181/12)-2),MONTH(H181),DAY(H181)),"dd/mm/yyyy"),", ",Constants!$P$4,TEXT($H181,"dd/mm/yyyy")),IF(($I181/12)=2,_xlfn.CONCAT(Constants!$N$3,TEXT(DATE(YEAR(H181)-(($I181/12)-1),MONTH(H181),DAY(H181)),"dd/mm/yyyy"),", ",Constants!$O$3,TEXT($H181,"dd/mm/yyyy")),IF(($I181/12)=1,_xlfn.CONCAT(Constants!$N$2,TEXT($H181,"dd/mm/yyyy")),"Update Constants"))))))),"")</f>
        <v/>
      </c>
      <c r="BC181" s="147" t="str">
        <f>_xlfn.IFNA(VALUE(INDEX(Producer!$K:$K,MATCH($D181,Producer!$A:$A,0))),"")</f>
        <v/>
      </c>
      <c r="BD181" s="147" t="str">
        <f>_xlfn.IFNA(INDEX(Producer!$I:$I,MATCH($D181,Producer!$A:$A,0)),"")</f>
        <v/>
      </c>
      <c r="BE181" s="147" t="str">
        <f t="shared" si="64"/>
        <v/>
      </c>
      <c r="BF181" s="147"/>
      <c r="BG181" s="147"/>
      <c r="BH181" s="151" t="str">
        <f>_xlfn.IFNA(INDEX(Constants!$B:$B,MATCH(BC181,Constants!A:A,0)),"")</f>
        <v/>
      </c>
      <c r="BI181" s="147" t="str">
        <f>IF(LEFT(B181,15)="Limited Company",Constants!$D$16,IFERROR(_xlfn.IFNA(IF(C181="Residential",IF(BK181&lt;75,INDEX(Constants!$B:$B,MATCH(VALUE(60)/100,Constants!$A:$A,0)),INDEX(Constants!$B:$B,MATCH(VALUE(BK181)/100,Constants!$A:$A,0))),IF(BK181&lt;60,INDEX(Constants!$C:$C,MATCH(VALUE(60)/100,Constants!$A:$A,0)),INDEX(Constants!$C:$C,MATCH(VALUE(BK181)/100,Constants!$A:$A,0)))),""),""))</f>
        <v/>
      </c>
      <c r="BJ181" s="147" t="str">
        <f t="shared" si="65"/>
        <v/>
      </c>
      <c r="BK181" s="147" t="str">
        <f>_xlfn.IFNA(VALUE(INDEX(Producer!$E:$E,MATCH($D181,Producer!$A:$A,0)))*100,"")</f>
        <v/>
      </c>
      <c r="BL181" s="146" t="str">
        <f>_xlfn.IFNA(IF(IFERROR(FIND("Part &amp; Part",B181),-10)&gt;0,"PP",IF(OR(LEFT(B181,25)="Residential Interest Only",INDEX(Producer!$P:$P,MATCH($D181,Producer!$A:$A,0))="IO",INDEX(Producer!$P:$P,MATCH($D181,Producer!$A:$A,0))="Retirement Interest Only"),"IO",IF($C181="BuyToLet","CI, IO","CI"))),"")</f>
        <v/>
      </c>
      <c r="BM181" s="152" t="str">
        <f>_xlfn.IFNA(IF(BL181="IO",100%,IF(AND(INDEX(Producer!$P:$P,MATCH($D181,Producer!$A:$A,0))="Residential Interest Only Part &amp; Part",BK181=75),80%,IF(C181="BuyToLet",100%,IF(BL181="Interest Only",100%,IF(AND(INDEX(Producer!$P:$P,MATCH($D181,Producer!$A:$A,0))="Residential Interest Only Part &amp; Part",BK181=60),100%,""))))),"")</f>
        <v/>
      </c>
      <c r="BN181" s="218" t="str">
        <f>_xlfn.IFNA(IF(VALUE(INDEX(Producer!$H:$H,MATCH($D181,Producer!$A:$A,0)))=0,"",VALUE(INDEX(Producer!$H:$H,MATCH($D181,Producer!$A:$A,0)))),"")</f>
        <v/>
      </c>
      <c r="BO181" s="153"/>
      <c r="BP181" s="153"/>
      <c r="BQ181" s="219" t="str">
        <f t="shared" si="66"/>
        <v/>
      </c>
      <c r="BR181" s="146"/>
      <c r="BS181" s="146"/>
      <c r="BT181" s="146"/>
      <c r="BU181" s="146"/>
      <c r="BV181" s="219" t="str">
        <f t="shared" si="67"/>
        <v/>
      </c>
      <c r="BW181" s="146"/>
      <c r="BX181" s="146"/>
      <c r="BY181" s="146" t="str">
        <f t="shared" si="68"/>
        <v/>
      </c>
      <c r="BZ181" s="146" t="str">
        <f t="shared" si="69"/>
        <v/>
      </c>
      <c r="CA181" s="146" t="str">
        <f t="shared" si="70"/>
        <v/>
      </c>
      <c r="CB181" s="146" t="str">
        <f t="shared" si="71"/>
        <v/>
      </c>
      <c r="CC181" s="146" t="str">
        <f>_xlfn.IFNA(IF(INDEX(Producer!$P:$P,MATCH($D181,Producer!$A:$A,0))="Help to Buy","Only available","No"),"")</f>
        <v/>
      </c>
      <c r="CD181" s="146" t="str">
        <f>_xlfn.IFNA(IF(INDEX(Producer!$P:$P,MATCH($D181,Producer!$A:$A,0))="Shared Ownership","Only available","No"),"")</f>
        <v/>
      </c>
      <c r="CE181" s="146" t="str">
        <f>_xlfn.IFNA(IF(INDEX(Producer!$P:$P,MATCH($D181,Producer!$A:$A,0))="Right to Buy","Only available","No"),"")</f>
        <v/>
      </c>
      <c r="CF181" s="146" t="str">
        <f t="shared" si="72"/>
        <v/>
      </c>
      <c r="CG181" s="146" t="str">
        <f>_xlfn.IFNA(IF(INDEX(Producer!$P:$P,MATCH($D181,Producer!$A:$A,0))="Retirement Interest Only","Only available","No"),"")</f>
        <v/>
      </c>
      <c r="CH181" s="146" t="str">
        <f t="shared" si="73"/>
        <v/>
      </c>
      <c r="CI181" s="146" t="str">
        <f>_xlfn.IFNA(IF(INDEX(Producer!$P:$P,MATCH($D181,Producer!$A:$A,0))="Intermediary Holiday Let","Only available","No"),"")</f>
        <v/>
      </c>
      <c r="CJ181" s="146" t="str">
        <f t="shared" si="74"/>
        <v/>
      </c>
      <c r="CK181" s="146" t="str">
        <f>_xlfn.IFNA(IF(OR(INDEX(Producer!$P:$P,MATCH($D181,Producer!$A:$A,0))="Intermediary Small HMO",INDEX(Producer!$P:$P,MATCH($D181,Producer!$A:$A,0))="Intermediary Large HMO"),"Only available","No"),"")</f>
        <v/>
      </c>
      <c r="CL181" s="146" t="str">
        <f t="shared" si="75"/>
        <v/>
      </c>
      <c r="CM181" s="146" t="str">
        <f t="shared" si="76"/>
        <v/>
      </c>
      <c r="CN181" s="146" t="str">
        <f t="shared" si="77"/>
        <v/>
      </c>
      <c r="CO181" s="146" t="str">
        <f t="shared" si="78"/>
        <v/>
      </c>
      <c r="CP181" s="146" t="str">
        <f t="shared" si="79"/>
        <v/>
      </c>
      <c r="CQ181" s="146" t="str">
        <f t="shared" si="80"/>
        <v/>
      </c>
      <c r="CR181" s="146" t="str">
        <f t="shared" si="81"/>
        <v/>
      </c>
      <c r="CS181" s="146" t="str">
        <f t="shared" si="82"/>
        <v/>
      </c>
      <c r="CT181" s="146" t="str">
        <f t="shared" si="83"/>
        <v/>
      </c>
      <c r="CU181" s="146"/>
    </row>
    <row r="182" spans="1:99" ht="16.399999999999999" customHeight="1" x14ac:dyDescent="0.35">
      <c r="A182" s="145" t="str">
        <f t="shared" si="56"/>
        <v/>
      </c>
      <c r="B182" s="145" t="str">
        <f>_xlfn.IFNA(_xlfn.CONCAT(INDEX(Producer!$P:$P,MATCH($D182,Producer!$A:$A,0))," ",IF(INDEX(Producer!$N:$N,MATCH($D182,Producer!$A:$A,0))="Yes","Green ",""),IF(AND(INDEX(Producer!$L:$L,MATCH($D182,Producer!$A:$A,0))="No",INDEX(Producer!$C:$C,MATCH($D182,Producer!$A:$A,0))="Fixed"),"Flexit ",""),INDEX(Producer!$B:$B,MATCH($D182,Producer!$A:$A,0))," Year ",INDEX(Producer!$C:$C,MATCH($D182,Producer!$A:$A,0))," ",VALUE(INDEX(Producer!$E:$E,MATCH($D182,Producer!$A:$A,0)))*100,"% LTV",IF(INDEX(Producer!$N:$N,MATCH($D182,Producer!$A:$A,0))="Yes"," (EPC A-C)","")," - ",IF(INDEX(Producer!$D:$D,MATCH($D182,Producer!$A:$A,0))="DLY","Daily","Annual")),"")</f>
        <v/>
      </c>
      <c r="C182" s="146" t="str">
        <f>_xlfn.IFNA(INDEX(Producer!$Q:$Q,MATCH($D182,Producer!$A:$A,0)),"")</f>
        <v/>
      </c>
      <c r="D182" s="146" t="str">
        <f>IFERROR(VALUE(MID(Producer!$R$2,IF($D181="",1/0,FIND(_xlfn.CONCAT($D180,$D181),Producer!$R$2)+10),5)),"")</f>
        <v/>
      </c>
      <c r="E182" s="146" t="str">
        <f t="shared" si="57"/>
        <v/>
      </c>
      <c r="F182" s="146"/>
      <c r="G182" s="147" t="str">
        <f>_xlfn.IFNA(VALUE(INDEX(Producer!$F:$F,MATCH($D182,Producer!$A:$A,0)))*100,"")</f>
        <v/>
      </c>
      <c r="H182" s="216" t="str">
        <f>_xlfn.IFNA(IFERROR(DATEVALUE(INDEX(Producer!$M:$M,MATCH($D182,Producer!$A:$A,0))),(INDEX(Producer!$M:$M,MATCH($D182,Producer!$A:$A,0)))),"")</f>
        <v/>
      </c>
      <c r="I182" s="217" t="str">
        <f>_xlfn.IFNA(VALUE(INDEX(Producer!$B:$B,MATCH($D182,Producer!$A:$A,0)))*12,"")</f>
        <v/>
      </c>
      <c r="J182" s="146" t="str">
        <f>_xlfn.IFNA(IF(C182="Residential",IF(VALUE(INDEX(Producer!$B:$B,MATCH($D182,Producer!$A:$A,0)))&lt;5,Constants!$C$10,""),IF(VALUE(INDEX(Producer!$B:$B,MATCH($D182,Producer!$A:$A,0)))&lt;5,Constants!$C$11,"")),"")</f>
        <v/>
      </c>
      <c r="K182" s="216" t="str">
        <f>_xlfn.IFNA(IF(($I182)&lt;60,DATE(YEAR(H182)+(5-VALUE(INDEX(Producer!$B:$B,MATCH($D182,Producer!$A:$A,0)))),MONTH(H182),DAY(H182)),""),"")</f>
        <v/>
      </c>
      <c r="L182" s="153" t="str">
        <f t="shared" si="58"/>
        <v/>
      </c>
      <c r="M182" s="146"/>
      <c r="N182" s="148"/>
      <c r="O182" s="148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6"/>
      <c r="AK182" s="146" t="str">
        <f>IF(D182="","",IF(C182="Residential",Constants!$B$10,Constants!$B$11))</f>
        <v/>
      </c>
      <c r="AL182" s="146" t="str">
        <f t="shared" si="59"/>
        <v/>
      </c>
      <c r="AM182" s="206" t="str">
        <f t="shared" si="60"/>
        <v/>
      </c>
      <c r="AN182" s="146" t="str">
        <f t="shared" si="61"/>
        <v/>
      </c>
      <c r="AO182" s="149" t="str">
        <f t="shared" si="62"/>
        <v/>
      </c>
      <c r="AP182" s="150" t="str">
        <f t="shared" si="63"/>
        <v/>
      </c>
      <c r="AQ182" s="146" t="str">
        <f>IFERROR(_xlfn.IFNA(IF($BA182="No",0,IF(INDEX(Constants!B:B,MATCH(($I182/12),Constants!$A:$A,0))=0,0,INDEX(Constants!B:B,MATCH(($I182/12),Constants!$A:$A,0)))),0),"")</f>
        <v/>
      </c>
      <c r="AR182" s="146" t="str">
        <f>IFERROR(_xlfn.IFNA(IF($BA182="No",0,IF(INDEX(Constants!C:C,MATCH(($I182/12),Constants!$A:$A,0))=0,0,INDEX(Constants!C:C,MATCH(($I182/12),Constants!$A:$A,0)))),0),"")</f>
        <v/>
      </c>
      <c r="AS182" s="146" t="str">
        <f>IFERROR(_xlfn.IFNA(IF($BA182="No",0,IF(INDEX(Constants!D:D,MATCH(($I182/12),Constants!$A:$A,0))=0,0,INDEX(Constants!D:D,MATCH(($I182/12),Constants!$A:$A,0)))),0),"")</f>
        <v/>
      </c>
      <c r="AT182" s="146" t="str">
        <f>IFERROR(_xlfn.IFNA(IF($BA182="No",0,IF(INDEX(Constants!E:E,MATCH(($I182/12),Constants!$A:$A,0))=0,0,INDEX(Constants!E:E,MATCH(($I182/12),Constants!$A:$A,0)))),0),"")</f>
        <v/>
      </c>
      <c r="AU182" s="146" t="str">
        <f>IFERROR(_xlfn.IFNA(IF($BA182="No",0,IF(INDEX(Constants!F:F,MATCH(($I182/12),Constants!$A:$A,0))=0,0,INDEX(Constants!F:F,MATCH(($I182/12),Constants!$A:$A,0)))),0),"")</f>
        <v/>
      </c>
      <c r="AV182" s="146" t="str">
        <f>IFERROR(_xlfn.IFNA(IF($BA182="No",0,IF(INDEX(Constants!G:G,MATCH(($I182/12),Constants!$A:$A,0))=0,0,INDEX(Constants!G:G,MATCH(($I182/12),Constants!$A:$A,0)))),0),"")</f>
        <v/>
      </c>
      <c r="AW182" s="146" t="str">
        <f>IFERROR(_xlfn.IFNA(IF($BA182="No",0,IF(INDEX(Constants!H:H,MATCH(($I182/12),Constants!$A:$A,0))=0,0,INDEX(Constants!H:H,MATCH(($I182/12),Constants!$A:$A,0)))),0),"")</f>
        <v/>
      </c>
      <c r="AX182" s="146" t="str">
        <f>IFERROR(_xlfn.IFNA(IF($BA182="No",0,IF(INDEX(Constants!I:I,MATCH(($I182/12),Constants!$A:$A,0))=0,0,INDEX(Constants!I:I,MATCH(($I182/12),Constants!$A:$A,0)))),0),"")</f>
        <v/>
      </c>
      <c r="AY182" s="146" t="str">
        <f>IFERROR(_xlfn.IFNA(IF($BA182="No",0,IF(INDEX(Constants!J:J,MATCH(($I182/12),Constants!$A:$A,0))=0,0,INDEX(Constants!J:J,MATCH(($I182/12),Constants!$A:$A,0)))),0),"")</f>
        <v/>
      </c>
      <c r="AZ182" s="146" t="str">
        <f>IFERROR(_xlfn.IFNA(IF($BA182="No",0,IF(INDEX(Constants!K:K,MATCH(($I182/12),Constants!$A:$A,0))=0,0,INDEX(Constants!K:K,MATCH(($I182/12),Constants!$A:$A,0)))),0),"")</f>
        <v/>
      </c>
      <c r="BA182" s="147" t="str">
        <f>_xlfn.IFNA(INDEX(Producer!$L:$L,MATCH($D182,Producer!$A:$A,0)),"")</f>
        <v/>
      </c>
      <c r="BB182" s="146" t="str">
        <f>IFERROR(IF(AQ182=0,"",IF(($I182/12)=15,_xlfn.CONCAT(Constants!$N$7,TEXT(DATE(YEAR(H182)-(($I182/12)-3),MONTH(H182),DAY(H182)),"dd/mm/yyyy"),", ",Constants!$P$7,TEXT(DATE(YEAR(H182)-(($I182/12)-8),MONTH(H182),DAY(H182)),"dd/mm/yyyy"),", ",Constants!$T$7,TEXT(DATE(YEAR(H182)-(($I182/12)-11),MONTH(H182),DAY(H182)),"dd/mm/yyyy"),", ",Constants!$V$7,TEXT(DATE(YEAR(H182)-(($I182/12)-13),MONTH(H182),DAY(H182)),"dd/mm/yyyy"),", ",Constants!$W$7,TEXT($H182,"dd/mm/yyyy")),IF(($I182/12)=10,_xlfn.CONCAT(Constants!$N$6,TEXT(DATE(YEAR(H182)-(($I182/12)-2),MONTH(H182),DAY(H182)),"dd/mm/yyyy"),", ",Constants!$P$6,TEXT(DATE(YEAR(H182)-(($I182/12)-6),MONTH(H182),DAY(H182)),"dd/mm/yyyy"),", ",Constants!$T$6,TEXT(DATE(YEAR(H182)-(($I182/12)-8),MONTH(H182),DAY(H182)),"dd/mm/yyyy"),", ",Constants!$V$6,TEXT(DATE(YEAR(H182)-(($I182/12)-9),MONTH(H182),DAY(H182)),"dd/mm/yyyy"),", ",Constants!$W$6,TEXT($H182,"dd/mm/yyyy")),IF(($I182/12)=5,_xlfn.CONCAT(Constants!$N$5,TEXT(DATE(YEAR(H182)-(($I182/12)-1),MONTH(H182),DAY(H182)),"dd/mm/yyyy"),", ",Constants!$O$5,TEXT(DATE(YEAR(H182)-(($I182/12)-2),MONTH(H182),DAY(H182)),"dd/mm/yyyy"),", ",Constants!$P$5,TEXT(DATE(YEAR(H182)-(($I182/12)-3),MONTH(H182),DAY(H182)),"dd/mm/yyyy"),", ",Constants!$Q$5,TEXT(DATE(YEAR(H182)-(($I182/12)-4),MONTH(H182),DAY(H182)),"dd/mm/yyyy"),", ",Constants!$R$5,TEXT($H182,"dd/mm/yyyy")),IF(($I182/12)=3,_xlfn.CONCAT(Constants!$N$4,TEXT(DATE(YEAR(H182)-(($I182/12)-1),MONTH(H182),DAY(H182)),"dd/mm/yyyy"),", ",Constants!$O$4,TEXT(DATE(YEAR(H182)-(($I182/12)-2),MONTH(H182),DAY(H182)),"dd/mm/yyyy"),", ",Constants!$P$4,TEXT($H182,"dd/mm/yyyy")),IF(($I182/12)=2,_xlfn.CONCAT(Constants!$N$3,TEXT(DATE(YEAR(H182)-(($I182/12)-1),MONTH(H182),DAY(H182)),"dd/mm/yyyy"),", ",Constants!$O$3,TEXT($H182,"dd/mm/yyyy")),IF(($I182/12)=1,_xlfn.CONCAT(Constants!$N$2,TEXT($H182,"dd/mm/yyyy")),"Update Constants"))))))),"")</f>
        <v/>
      </c>
      <c r="BC182" s="147" t="str">
        <f>_xlfn.IFNA(VALUE(INDEX(Producer!$K:$K,MATCH($D182,Producer!$A:$A,0))),"")</f>
        <v/>
      </c>
      <c r="BD182" s="147" t="str">
        <f>_xlfn.IFNA(INDEX(Producer!$I:$I,MATCH($D182,Producer!$A:$A,0)),"")</f>
        <v/>
      </c>
      <c r="BE182" s="147" t="str">
        <f t="shared" si="64"/>
        <v/>
      </c>
      <c r="BF182" s="147"/>
      <c r="BG182" s="147"/>
      <c r="BH182" s="151" t="str">
        <f>_xlfn.IFNA(INDEX(Constants!$B:$B,MATCH(BC182,Constants!A:A,0)),"")</f>
        <v/>
      </c>
      <c r="BI182" s="147" t="str">
        <f>IF(LEFT(B182,15)="Limited Company",Constants!$D$16,IFERROR(_xlfn.IFNA(IF(C182="Residential",IF(BK182&lt;75,INDEX(Constants!$B:$B,MATCH(VALUE(60)/100,Constants!$A:$A,0)),INDEX(Constants!$B:$B,MATCH(VALUE(BK182)/100,Constants!$A:$A,0))),IF(BK182&lt;60,INDEX(Constants!$C:$C,MATCH(VALUE(60)/100,Constants!$A:$A,0)),INDEX(Constants!$C:$C,MATCH(VALUE(BK182)/100,Constants!$A:$A,0)))),""),""))</f>
        <v/>
      </c>
      <c r="BJ182" s="147" t="str">
        <f t="shared" si="65"/>
        <v/>
      </c>
      <c r="BK182" s="147" t="str">
        <f>_xlfn.IFNA(VALUE(INDEX(Producer!$E:$E,MATCH($D182,Producer!$A:$A,0)))*100,"")</f>
        <v/>
      </c>
      <c r="BL182" s="146" t="str">
        <f>_xlfn.IFNA(IF(IFERROR(FIND("Part &amp; Part",B182),-10)&gt;0,"PP",IF(OR(LEFT(B182,25)="Residential Interest Only",INDEX(Producer!$P:$P,MATCH($D182,Producer!$A:$A,0))="IO",INDEX(Producer!$P:$P,MATCH($D182,Producer!$A:$A,0))="Retirement Interest Only"),"IO",IF($C182="BuyToLet","CI, IO","CI"))),"")</f>
        <v/>
      </c>
      <c r="BM182" s="152" t="str">
        <f>_xlfn.IFNA(IF(BL182="IO",100%,IF(AND(INDEX(Producer!$P:$P,MATCH($D182,Producer!$A:$A,0))="Residential Interest Only Part &amp; Part",BK182=75),80%,IF(C182="BuyToLet",100%,IF(BL182="Interest Only",100%,IF(AND(INDEX(Producer!$P:$P,MATCH($D182,Producer!$A:$A,0))="Residential Interest Only Part &amp; Part",BK182=60),100%,""))))),"")</f>
        <v/>
      </c>
      <c r="BN182" s="218" t="str">
        <f>_xlfn.IFNA(IF(VALUE(INDEX(Producer!$H:$H,MATCH($D182,Producer!$A:$A,0)))=0,"",VALUE(INDEX(Producer!$H:$H,MATCH($D182,Producer!$A:$A,0)))),"")</f>
        <v/>
      </c>
      <c r="BO182" s="153"/>
      <c r="BP182" s="153"/>
      <c r="BQ182" s="219" t="str">
        <f t="shared" si="66"/>
        <v/>
      </c>
      <c r="BR182" s="146"/>
      <c r="BS182" s="146"/>
      <c r="BT182" s="146"/>
      <c r="BU182" s="146"/>
      <c r="BV182" s="219" t="str">
        <f t="shared" si="67"/>
        <v/>
      </c>
      <c r="BW182" s="146"/>
      <c r="BX182" s="146"/>
      <c r="BY182" s="146" t="str">
        <f t="shared" si="68"/>
        <v/>
      </c>
      <c r="BZ182" s="146" t="str">
        <f t="shared" si="69"/>
        <v/>
      </c>
      <c r="CA182" s="146" t="str">
        <f t="shared" si="70"/>
        <v/>
      </c>
      <c r="CB182" s="146" t="str">
        <f t="shared" si="71"/>
        <v/>
      </c>
      <c r="CC182" s="146" t="str">
        <f>_xlfn.IFNA(IF(INDEX(Producer!$P:$P,MATCH($D182,Producer!$A:$A,0))="Help to Buy","Only available","No"),"")</f>
        <v/>
      </c>
      <c r="CD182" s="146" t="str">
        <f>_xlfn.IFNA(IF(INDEX(Producer!$P:$P,MATCH($D182,Producer!$A:$A,0))="Shared Ownership","Only available","No"),"")</f>
        <v/>
      </c>
      <c r="CE182" s="146" t="str">
        <f>_xlfn.IFNA(IF(INDEX(Producer!$P:$P,MATCH($D182,Producer!$A:$A,0))="Right to Buy","Only available","No"),"")</f>
        <v/>
      </c>
      <c r="CF182" s="146" t="str">
        <f t="shared" si="72"/>
        <v/>
      </c>
      <c r="CG182" s="146" t="str">
        <f>_xlfn.IFNA(IF(INDEX(Producer!$P:$P,MATCH($D182,Producer!$A:$A,0))="Retirement Interest Only","Only available","No"),"")</f>
        <v/>
      </c>
      <c r="CH182" s="146" t="str">
        <f t="shared" si="73"/>
        <v/>
      </c>
      <c r="CI182" s="146" t="str">
        <f>_xlfn.IFNA(IF(INDEX(Producer!$P:$P,MATCH($D182,Producer!$A:$A,0))="Intermediary Holiday Let","Only available","No"),"")</f>
        <v/>
      </c>
      <c r="CJ182" s="146" t="str">
        <f t="shared" si="74"/>
        <v/>
      </c>
      <c r="CK182" s="146" t="str">
        <f>_xlfn.IFNA(IF(OR(INDEX(Producer!$P:$P,MATCH($D182,Producer!$A:$A,0))="Intermediary Small HMO",INDEX(Producer!$P:$P,MATCH($D182,Producer!$A:$A,0))="Intermediary Large HMO"),"Only available","No"),"")</f>
        <v/>
      </c>
      <c r="CL182" s="146" t="str">
        <f t="shared" si="75"/>
        <v/>
      </c>
      <c r="CM182" s="146" t="str">
        <f t="shared" si="76"/>
        <v/>
      </c>
      <c r="CN182" s="146" t="str">
        <f t="shared" si="77"/>
        <v/>
      </c>
      <c r="CO182" s="146" t="str">
        <f t="shared" si="78"/>
        <v/>
      </c>
      <c r="CP182" s="146" t="str">
        <f t="shared" si="79"/>
        <v/>
      </c>
      <c r="CQ182" s="146" t="str">
        <f t="shared" si="80"/>
        <v/>
      </c>
      <c r="CR182" s="146" t="str">
        <f t="shared" si="81"/>
        <v/>
      </c>
      <c r="CS182" s="146" t="str">
        <f t="shared" si="82"/>
        <v/>
      </c>
      <c r="CT182" s="146" t="str">
        <f t="shared" si="83"/>
        <v/>
      </c>
      <c r="CU182" s="146"/>
    </row>
    <row r="183" spans="1:99" ht="16.399999999999999" customHeight="1" x14ac:dyDescent="0.35">
      <c r="A183" s="145" t="str">
        <f t="shared" si="56"/>
        <v/>
      </c>
      <c r="B183" s="145" t="str">
        <f>_xlfn.IFNA(_xlfn.CONCAT(INDEX(Producer!$P:$P,MATCH($D183,Producer!$A:$A,0))," ",IF(INDEX(Producer!$N:$N,MATCH($D183,Producer!$A:$A,0))="Yes","Green ",""),IF(AND(INDEX(Producer!$L:$L,MATCH($D183,Producer!$A:$A,0))="No",INDEX(Producer!$C:$C,MATCH($D183,Producer!$A:$A,0))="Fixed"),"Flexit ",""),INDEX(Producer!$B:$B,MATCH($D183,Producer!$A:$A,0))," Year ",INDEX(Producer!$C:$C,MATCH($D183,Producer!$A:$A,0))," ",VALUE(INDEX(Producer!$E:$E,MATCH($D183,Producer!$A:$A,0)))*100,"% LTV",IF(INDEX(Producer!$N:$N,MATCH($D183,Producer!$A:$A,0))="Yes"," (EPC A-C)","")," - ",IF(INDEX(Producer!$D:$D,MATCH($D183,Producer!$A:$A,0))="DLY","Daily","Annual")),"")</f>
        <v/>
      </c>
      <c r="C183" s="146" t="str">
        <f>_xlfn.IFNA(INDEX(Producer!$Q:$Q,MATCH($D183,Producer!$A:$A,0)),"")</f>
        <v/>
      </c>
      <c r="D183" s="146" t="str">
        <f>IFERROR(VALUE(MID(Producer!$R$2,IF($D182="",1/0,FIND(_xlfn.CONCAT($D181,$D182),Producer!$R$2)+10),5)),"")</f>
        <v/>
      </c>
      <c r="E183" s="146" t="str">
        <f t="shared" si="57"/>
        <v/>
      </c>
      <c r="F183" s="146"/>
      <c r="G183" s="147" t="str">
        <f>_xlfn.IFNA(VALUE(INDEX(Producer!$F:$F,MATCH($D183,Producer!$A:$A,0)))*100,"")</f>
        <v/>
      </c>
      <c r="H183" s="216" t="str">
        <f>_xlfn.IFNA(IFERROR(DATEVALUE(INDEX(Producer!$M:$M,MATCH($D183,Producer!$A:$A,0))),(INDEX(Producer!$M:$M,MATCH($D183,Producer!$A:$A,0)))),"")</f>
        <v/>
      </c>
      <c r="I183" s="217" t="str">
        <f>_xlfn.IFNA(VALUE(INDEX(Producer!$B:$B,MATCH($D183,Producer!$A:$A,0)))*12,"")</f>
        <v/>
      </c>
      <c r="J183" s="146" t="str">
        <f>_xlfn.IFNA(IF(C183="Residential",IF(VALUE(INDEX(Producer!$B:$B,MATCH($D183,Producer!$A:$A,0)))&lt;5,Constants!$C$10,""),IF(VALUE(INDEX(Producer!$B:$B,MATCH($D183,Producer!$A:$A,0)))&lt;5,Constants!$C$11,"")),"")</f>
        <v/>
      </c>
      <c r="K183" s="216" t="str">
        <f>_xlfn.IFNA(IF(($I183)&lt;60,DATE(YEAR(H183)+(5-VALUE(INDEX(Producer!$B:$B,MATCH($D183,Producer!$A:$A,0)))),MONTH(H183),DAY(H183)),""),"")</f>
        <v/>
      </c>
      <c r="L183" s="153" t="str">
        <f t="shared" si="58"/>
        <v/>
      </c>
      <c r="M183" s="146"/>
      <c r="N183" s="148"/>
      <c r="O183" s="148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6"/>
      <c r="AK183" s="146" t="str">
        <f>IF(D183="","",IF(C183="Residential",Constants!$B$10,Constants!$B$11))</f>
        <v/>
      </c>
      <c r="AL183" s="146" t="str">
        <f t="shared" si="59"/>
        <v/>
      </c>
      <c r="AM183" s="206" t="str">
        <f t="shared" si="60"/>
        <v/>
      </c>
      <c r="AN183" s="146" t="str">
        <f t="shared" si="61"/>
        <v/>
      </c>
      <c r="AO183" s="149" t="str">
        <f t="shared" si="62"/>
        <v/>
      </c>
      <c r="AP183" s="150" t="str">
        <f t="shared" si="63"/>
        <v/>
      </c>
      <c r="AQ183" s="146" t="str">
        <f>IFERROR(_xlfn.IFNA(IF($BA183="No",0,IF(INDEX(Constants!B:B,MATCH(($I183/12),Constants!$A:$A,0))=0,0,INDEX(Constants!B:B,MATCH(($I183/12),Constants!$A:$A,0)))),0),"")</f>
        <v/>
      </c>
      <c r="AR183" s="146" t="str">
        <f>IFERROR(_xlfn.IFNA(IF($BA183="No",0,IF(INDEX(Constants!C:C,MATCH(($I183/12),Constants!$A:$A,0))=0,0,INDEX(Constants!C:C,MATCH(($I183/12),Constants!$A:$A,0)))),0),"")</f>
        <v/>
      </c>
      <c r="AS183" s="146" t="str">
        <f>IFERROR(_xlfn.IFNA(IF($BA183="No",0,IF(INDEX(Constants!D:D,MATCH(($I183/12),Constants!$A:$A,0))=0,0,INDEX(Constants!D:D,MATCH(($I183/12),Constants!$A:$A,0)))),0),"")</f>
        <v/>
      </c>
      <c r="AT183" s="146" t="str">
        <f>IFERROR(_xlfn.IFNA(IF($BA183="No",0,IF(INDEX(Constants!E:E,MATCH(($I183/12),Constants!$A:$A,0))=0,0,INDEX(Constants!E:E,MATCH(($I183/12),Constants!$A:$A,0)))),0),"")</f>
        <v/>
      </c>
      <c r="AU183" s="146" t="str">
        <f>IFERROR(_xlfn.IFNA(IF($BA183="No",0,IF(INDEX(Constants!F:F,MATCH(($I183/12),Constants!$A:$A,0))=0,0,INDEX(Constants!F:F,MATCH(($I183/12),Constants!$A:$A,0)))),0),"")</f>
        <v/>
      </c>
      <c r="AV183" s="146" t="str">
        <f>IFERROR(_xlfn.IFNA(IF($BA183="No",0,IF(INDEX(Constants!G:G,MATCH(($I183/12),Constants!$A:$A,0))=0,0,INDEX(Constants!G:G,MATCH(($I183/12),Constants!$A:$A,0)))),0),"")</f>
        <v/>
      </c>
      <c r="AW183" s="146" t="str">
        <f>IFERROR(_xlfn.IFNA(IF($BA183="No",0,IF(INDEX(Constants!H:H,MATCH(($I183/12),Constants!$A:$A,0))=0,0,INDEX(Constants!H:H,MATCH(($I183/12),Constants!$A:$A,0)))),0),"")</f>
        <v/>
      </c>
      <c r="AX183" s="146" t="str">
        <f>IFERROR(_xlfn.IFNA(IF($BA183="No",0,IF(INDEX(Constants!I:I,MATCH(($I183/12),Constants!$A:$A,0))=0,0,INDEX(Constants!I:I,MATCH(($I183/12),Constants!$A:$A,0)))),0),"")</f>
        <v/>
      </c>
      <c r="AY183" s="146" t="str">
        <f>IFERROR(_xlfn.IFNA(IF($BA183="No",0,IF(INDEX(Constants!J:J,MATCH(($I183/12),Constants!$A:$A,0))=0,0,INDEX(Constants!J:J,MATCH(($I183/12),Constants!$A:$A,0)))),0),"")</f>
        <v/>
      </c>
      <c r="AZ183" s="146" t="str">
        <f>IFERROR(_xlfn.IFNA(IF($BA183="No",0,IF(INDEX(Constants!K:K,MATCH(($I183/12),Constants!$A:$A,0))=0,0,INDEX(Constants!K:K,MATCH(($I183/12),Constants!$A:$A,0)))),0),"")</f>
        <v/>
      </c>
      <c r="BA183" s="147" t="str">
        <f>_xlfn.IFNA(INDEX(Producer!$L:$L,MATCH($D183,Producer!$A:$A,0)),"")</f>
        <v/>
      </c>
      <c r="BB183" s="146" t="str">
        <f>IFERROR(IF(AQ183=0,"",IF(($I183/12)=15,_xlfn.CONCAT(Constants!$N$7,TEXT(DATE(YEAR(H183)-(($I183/12)-3),MONTH(H183),DAY(H183)),"dd/mm/yyyy"),", ",Constants!$P$7,TEXT(DATE(YEAR(H183)-(($I183/12)-8),MONTH(H183),DAY(H183)),"dd/mm/yyyy"),", ",Constants!$T$7,TEXT(DATE(YEAR(H183)-(($I183/12)-11),MONTH(H183),DAY(H183)),"dd/mm/yyyy"),", ",Constants!$V$7,TEXT(DATE(YEAR(H183)-(($I183/12)-13),MONTH(H183),DAY(H183)),"dd/mm/yyyy"),", ",Constants!$W$7,TEXT($H183,"dd/mm/yyyy")),IF(($I183/12)=10,_xlfn.CONCAT(Constants!$N$6,TEXT(DATE(YEAR(H183)-(($I183/12)-2),MONTH(H183),DAY(H183)),"dd/mm/yyyy"),", ",Constants!$P$6,TEXT(DATE(YEAR(H183)-(($I183/12)-6),MONTH(H183),DAY(H183)),"dd/mm/yyyy"),", ",Constants!$T$6,TEXT(DATE(YEAR(H183)-(($I183/12)-8),MONTH(H183),DAY(H183)),"dd/mm/yyyy"),", ",Constants!$V$6,TEXT(DATE(YEAR(H183)-(($I183/12)-9),MONTH(H183),DAY(H183)),"dd/mm/yyyy"),", ",Constants!$W$6,TEXT($H183,"dd/mm/yyyy")),IF(($I183/12)=5,_xlfn.CONCAT(Constants!$N$5,TEXT(DATE(YEAR(H183)-(($I183/12)-1),MONTH(H183),DAY(H183)),"dd/mm/yyyy"),", ",Constants!$O$5,TEXT(DATE(YEAR(H183)-(($I183/12)-2),MONTH(H183),DAY(H183)),"dd/mm/yyyy"),", ",Constants!$P$5,TEXT(DATE(YEAR(H183)-(($I183/12)-3),MONTH(H183),DAY(H183)),"dd/mm/yyyy"),", ",Constants!$Q$5,TEXT(DATE(YEAR(H183)-(($I183/12)-4),MONTH(H183),DAY(H183)),"dd/mm/yyyy"),", ",Constants!$R$5,TEXT($H183,"dd/mm/yyyy")),IF(($I183/12)=3,_xlfn.CONCAT(Constants!$N$4,TEXT(DATE(YEAR(H183)-(($I183/12)-1),MONTH(H183),DAY(H183)),"dd/mm/yyyy"),", ",Constants!$O$4,TEXT(DATE(YEAR(H183)-(($I183/12)-2),MONTH(H183),DAY(H183)),"dd/mm/yyyy"),", ",Constants!$P$4,TEXT($H183,"dd/mm/yyyy")),IF(($I183/12)=2,_xlfn.CONCAT(Constants!$N$3,TEXT(DATE(YEAR(H183)-(($I183/12)-1),MONTH(H183),DAY(H183)),"dd/mm/yyyy"),", ",Constants!$O$3,TEXT($H183,"dd/mm/yyyy")),IF(($I183/12)=1,_xlfn.CONCAT(Constants!$N$2,TEXT($H183,"dd/mm/yyyy")),"Update Constants"))))))),"")</f>
        <v/>
      </c>
      <c r="BC183" s="147" t="str">
        <f>_xlfn.IFNA(VALUE(INDEX(Producer!$K:$K,MATCH($D183,Producer!$A:$A,0))),"")</f>
        <v/>
      </c>
      <c r="BD183" s="147" t="str">
        <f>_xlfn.IFNA(INDEX(Producer!$I:$I,MATCH($D183,Producer!$A:$A,0)),"")</f>
        <v/>
      </c>
      <c r="BE183" s="147" t="str">
        <f t="shared" si="64"/>
        <v/>
      </c>
      <c r="BF183" s="147"/>
      <c r="BG183" s="147"/>
      <c r="BH183" s="151" t="str">
        <f>_xlfn.IFNA(INDEX(Constants!$B:$B,MATCH(BC183,Constants!A:A,0)),"")</f>
        <v/>
      </c>
      <c r="BI183" s="147" t="str">
        <f>IF(LEFT(B183,15)="Limited Company",Constants!$D$16,IFERROR(_xlfn.IFNA(IF(C183="Residential",IF(BK183&lt;75,INDEX(Constants!$B:$B,MATCH(VALUE(60)/100,Constants!$A:$A,0)),INDEX(Constants!$B:$B,MATCH(VALUE(BK183)/100,Constants!$A:$A,0))),IF(BK183&lt;60,INDEX(Constants!$C:$C,MATCH(VALUE(60)/100,Constants!$A:$A,0)),INDEX(Constants!$C:$C,MATCH(VALUE(BK183)/100,Constants!$A:$A,0)))),""),""))</f>
        <v/>
      </c>
      <c r="BJ183" s="147" t="str">
        <f t="shared" si="65"/>
        <v/>
      </c>
      <c r="BK183" s="147" t="str">
        <f>_xlfn.IFNA(VALUE(INDEX(Producer!$E:$E,MATCH($D183,Producer!$A:$A,0)))*100,"")</f>
        <v/>
      </c>
      <c r="BL183" s="146" t="str">
        <f>_xlfn.IFNA(IF(IFERROR(FIND("Part &amp; Part",B183),-10)&gt;0,"PP",IF(OR(LEFT(B183,25)="Residential Interest Only",INDEX(Producer!$P:$P,MATCH($D183,Producer!$A:$A,0))="IO",INDEX(Producer!$P:$P,MATCH($D183,Producer!$A:$A,0))="Retirement Interest Only"),"IO",IF($C183="BuyToLet","CI, IO","CI"))),"")</f>
        <v/>
      </c>
      <c r="BM183" s="152" t="str">
        <f>_xlfn.IFNA(IF(BL183="IO",100%,IF(AND(INDEX(Producer!$P:$P,MATCH($D183,Producer!$A:$A,0))="Residential Interest Only Part &amp; Part",BK183=75),80%,IF(C183="BuyToLet",100%,IF(BL183="Interest Only",100%,IF(AND(INDEX(Producer!$P:$P,MATCH($D183,Producer!$A:$A,0))="Residential Interest Only Part &amp; Part",BK183=60),100%,""))))),"")</f>
        <v/>
      </c>
      <c r="BN183" s="218" t="str">
        <f>_xlfn.IFNA(IF(VALUE(INDEX(Producer!$H:$H,MATCH($D183,Producer!$A:$A,0)))=0,"",VALUE(INDEX(Producer!$H:$H,MATCH($D183,Producer!$A:$A,0)))),"")</f>
        <v/>
      </c>
      <c r="BO183" s="153"/>
      <c r="BP183" s="153"/>
      <c r="BQ183" s="219" t="str">
        <f t="shared" si="66"/>
        <v/>
      </c>
      <c r="BR183" s="146"/>
      <c r="BS183" s="146"/>
      <c r="BT183" s="146"/>
      <c r="BU183" s="146"/>
      <c r="BV183" s="219" t="str">
        <f t="shared" si="67"/>
        <v/>
      </c>
      <c r="BW183" s="146"/>
      <c r="BX183" s="146"/>
      <c r="BY183" s="146" t="str">
        <f t="shared" si="68"/>
        <v/>
      </c>
      <c r="BZ183" s="146" t="str">
        <f t="shared" si="69"/>
        <v/>
      </c>
      <c r="CA183" s="146" t="str">
        <f t="shared" si="70"/>
        <v/>
      </c>
      <c r="CB183" s="146" t="str">
        <f t="shared" si="71"/>
        <v/>
      </c>
      <c r="CC183" s="146" t="str">
        <f>_xlfn.IFNA(IF(INDEX(Producer!$P:$P,MATCH($D183,Producer!$A:$A,0))="Help to Buy","Only available","No"),"")</f>
        <v/>
      </c>
      <c r="CD183" s="146" t="str">
        <f>_xlfn.IFNA(IF(INDEX(Producer!$P:$P,MATCH($D183,Producer!$A:$A,0))="Shared Ownership","Only available","No"),"")</f>
        <v/>
      </c>
      <c r="CE183" s="146" t="str">
        <f>_xlfn.IFNA(IF(INDEX(Producer!$P:$P,MATCH($D183,Producer!$A:$A,0))="Right to Buy","Only available","No"),"")</f>
        <v/>
      </c>
      <c r="CF183" s="146" t="str">
        <f t="shared" si="72"/>
        <v/>
      </c>
      <c r="CG183" s="146" t="str">
        <f>_xlfn.IFNA(IF(INDEX(Producer!$P:$P,MATCH($D183,Producer!$A:$A,0))="Retirement Interest Only","Only available","No"),"")</f>
        <v/>
      </c>
      <c r="CH183" s="146" t="str">
        <f t="shared" si="73"/>
        <v/>
      </c>
      <c r="CI183" s="146" t="str">
        <f>_xlfn.IFNA(IF(INDEX(Producer!$P:$P,MATCH($D183,Producer!$A:$A,0))="Intermediary Holiday Let","Only available","No"),"")</f>
        <v/>
      </c>
      <c r="CJ183" s="146" t="str">
        <f t="shared" si="74"/>
        <v/>
      </c>
      <c r="CK183" s="146" t="str">
        <f>_xlfn.IFNA(IF(OR(INDEX(Producer!$P:$P,MATCH($D183,Producer!$A:$A,0))="Intermediary Small HMO",INDEX(Producer!$P:$P,MATCH($D183,Producer!$A:$A,0))="Intermediary Large HMO"),"Only available","No"),"")</f>
        <v/>
      </c>
      <c r="CL183" s="146" t="str">
        <f t="shared" si="75"/>
        <v/>
      </c>
      <c r="CM183" s="146" t="str">
        <f t="shared" si="76"/>
        <v/>
      </c>
      <c r="CN183" s="146" t="str">
        <f t="shared" si="77"/>
        <v/>
      </c>
      <c r="CO183" s="146" t="str">
        <f t="shared" si="78"/>
        <v/>
      </c>
      <c r="CP183" s="146" t="str">
        <f t="shared" si="79"/>
        <v/>
      </c>
      <c r="CQ183" s="146" t="str">
        <f t="shared" si="80"/>
        <v/>
      </c>
      <c r="CR183" s="146" t="str">
        <f t="shared" si="81"/>
        <v/>
      </c>
      <c r="CS183" s="146" t="str">
        <f t="shared" si="82"/>
        <v/>
      </c>
      <c r="CT183" s="146" t="str">
        <f t="shared" si="83"/>
        <v/>
      </c>
      <c r="CU183" s="146"/>
    </row>
    <row r="184" spans="1:99" ht="16.399999999999999" customHeight="1" x14ac:dyDescent="0.35">
      <c r="A184" s="145" t="str">
        <f t="shared" si="56"/>
        <v/>
      </c>
      <c r="B184" s="145" t="str">
        <f>_xlfn.IFNA(_xlfn.CONCAT(INDEX(Producer!$P:$P,MATCH($D184,Producer!$A:$A,0))," ",IF(INDEX(Producer!$N:$N,MATCH($D184,Producer!$A:$A,0))="Yes","Green ",""),IF(AND(INDEX(Producer!$L:$L,MATCH($D184,Producer!$A:$A,0))="No",INDEX(Producer!$C:$C,MATCH($D184,Producer!$A:$A,0))="Fixed"),"Flexit ",""),INDEX(Producer!$B:$B,MATCH($D184,Producer!$A:$A,0))," Year ",INDEX(Producer!$C:$C,MATCH($D184,Producer!$A:$A,0))," ",VALUE(INDEX(Producer!$E:$E,MATCH($D184,Producer!$A:$A,0)))*100,"% LTV",IF(INDEX(Producer!$N:$N,MATCH($D184,Producer!$A:$A,0))="Yes"," (EPC A-C)","")," - ",IF(INDEX(Producer!$D:$D,MATCH($D184,Producer!$A:$A,0))="DLY","Daily","Annual")),"")</f>
        <v/>
      </c>
      <c r="C184" s="146" t="str">
        <f>_xlfn.IFNA(INDEX(Producer!$Q:$Q,MATCH($D184,Producer!$A:$A,0)),"")</f>
        <v/>
      </c>
      <c r="D184" s="146" t="str">
        <f>IFERROR(VALUE(MID(Producer!$R$2,IF($D183="",1/0,FIND(_xlfn.CONCAT($D182,$D183),Producer!$R$2)+10),5)),"")</f>
        <v/>
      </c>
      <c r="E184" s="146" t="str">
        <f t="shared" si="57"/>
        <v/>
      </c>
      <c r="F184" s="146"/>
      <c r="G184" s="147" t="str">
        <f>_xlfn.IFNA(VALUE(INDEX(Producer!$F:$F,MATCH($D184,Producer!$A:$A,0)))*100,"")</f>
        <v/>
      </c>
      <c r="H184" s="216" t="str">
        <f>_xlfn.IFNA(IFERROR(DATEVALUE(INDEX(Producer!$M:$M,MATCH($D184,Producer!$A:$A,0))),(INDEX(Producer!$M:$M,MATCH($D184,Producer!$A:$A,0)))),"")</f>
        <v/>
      </c>
      <c r="I184" s="217" t="str">
        <f>_xlfn.IFNA(VALUE(INDEX(Producer!$B:$B,MATCH($D184,Producer!$A:$A,0)))*12,"")</f>
        <v/>
      </c>
      <c r="J184" s="146" t="str">
        <f>_xlfn.IFNA(IF(C184="Residential",IF(VALUE(INDEX(Producer!$B:$B,MATCH($D184,Producer!$A:$A,0)))&lt;5,Constants!$C$10,""),IF(VALUE(INDEX(Producer!$B:$B,MATCH($D184,Producer!$A:$A,0)))&lt;5,Constants!$C$11,"")),"")</f>
        <v/>
      </c>
      <c r="K184" s="216" t="str">
        <f>_xlfn.IFNA(IF(($I184)&lt;60,DATE(YEAR(H184)+(5-VALUE(INDEX(Producer!$B:$B,MATCH($D184,Producer!$A:$A,0)))),MONTH(H184),DAY(H184)),""),"")</f>
        <v/>
      </c>
      <c r="L184" s="153" t="str">
        <f t="shared" si="58"/>
        <v/>
      </c>
      <c r="M184" s="146"/>
      <c r="N184" s="148"/>
      <c r="O184" s="148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6"/>
      <c r="AK184" s="146" t="str">
        <f>IF(D184="","",IF(C184="Residential",Constants!$B$10,Constants!$B$11))</f>
        <v/>
      </c>
      <c r="AL184" s="146" t="str">
        <f t="shared" si="59"/>
        <v/>
      </c>
      <c r="AM184" s="206" t="str">
        <f t="shared" si="60"/>
        <v/>
      </c>
      <c r="AN184" s="146" t="str">
        <f t="shared" si="61"/>
        <v/>
      </c>
      <c r="AO184" s="149" t="str">
        <f t="shared" si="62"/>
        <v/>
      </c>
      <c r="AP184" s="150" t="str">
        <f t="shared" si="63"/>
        <v/>
      </c>
      <c r="AQ184" s="146" t="str">
        <f>IFERROR(_xlfn.IFNA(IF($BA184="No",0,IF(INDEX(Constants!B:B,MATCH(($I184/12),Constants!$A:$A,0))=0,0,INDEX(Constants!B:B,MATCH(($I184/12),Constants!$A:$A,0)))),0),"")</f>
        <v/>
      </c>
      <c r="AR184" s="146" t="str">
        <f>IFERROR(_xlfn.IFNA(IF($BA184="No",0,IF(INDEX(Constants!C:C,MATCH(($I184/12),Constants!$A:$A,0))=0,0,INDEX(Constants!C:C,MATCH(($I184/12),Constants!$A:$A,0)))),0),"")</f>
        <v/>
      </c>
      <c r="AS184" s="146" t="str">
        <f>IFERROR(_xlfn.IFNA(IF($BA184="No",0,IF(INDEX(Constants!D:D,MATCH(($I184/12),Constants!$A:$A,0))=0,0,INDEX(Constants!D:D,MATCH(($I184/12),Constants!$A:$A,0)))),0),"")</f>
        <v/>
      </c>
      <c r="AT184" s="146" t="str">
        <f>IFERROR(_xlfn.IFNA(IF($BA184="No",0,IF(INDEX(Constants!E:E,MATCH(($I184/12),Constants!$A:$A,0))=0,0,INDEX(Constants!E:E,MATCH(($I184/12),Constants!$A:$A,0)))),0),"")</f>
        <v/>
      </c>
      <c r="AU184" s="146" t="str">
        <f>IFERROR(_xlfn.IFNA(IF($BA184="No",0,IF(INDEX(Constants!F:F,MATCH(($I184/12),Constants!$A:$A,0))=0,0,INDEX(Constants!F:F,MATCH(($I184/12),Constants!$A:$A,0)))),0),"")</f>
        <v/>
      </c>
      <c r="AV184" s="146" t="str">
        <f>IFERROR(_xlfn.IFNA(IF($BA184="No",0,IF(INDEX(Constants!G:G,MATCH(($I184/12),Constants!$A:$A,0))=0,0,INDEX(Constants!G:G,MATCH(($I184/12),Constants!$A:$A,0)))),0),"")</f>
        <v/>
      </c>
      <c r="AW184" s="146" t="str">
        <f>IFERROR(_xlfn.IFNA(IF($BA184="No",0,IF(INDEX(Constants!H:H,MATCH(($I184/12),Constants!$A:$A,0))=0,0,INDEX(Constants!H:H,MATCH(($I184/12),Constants!$A:$A,0)))),0),"")</f>
        <v/>
      </c>
      <c r="AX184" s="146" t="str">
        <f>IFERROR(_xlfn.IFNA(IF($BA184="No",0,IF(INDEX(Constants!I:I,MATCH(($I184/12),Constants!$A:$A,0))=0,0,INDEX(Constants!I:I,MATCH(($I184/12),Constants!$A:$A,0)))),0),"")</f>
        <v/>
      </c>
      <c r="AY184" s="146" t="str">
        <f>IFERROR(_xlfn.IFNA(IF($BA184="No",0,IF(INDEX(Constants!J:J,MATCH(($I184/12),Constants!$A:$A,0))=0,0,INDEX(Constants!J:J,MATCH(($I184/12),Constants!$A:$A,0)))),0),"")</f>
        <v/>
      </c>
      <c r="AZ184" s="146" t="str">
        <f>IFERROR(_xlfn.IFNA(IF($BA184="No",0,IF(INDEX(Constants!K:K,MATCH(($I184/12),Constants!$A:$A,0))=0,0,INDEX(Constants!K:K,MATCH(($I184/12),Constants!$A:$A,0)))),0),"")</f>
        <v/>
      </c>
      <c r="BA184" s="147" t="str">
        <f>_xlfn.IFNA(INDEX(Producer!$L:$L,MATCH($D184,Producer!$A:$A,0)),"")</f>
        <v/>
      </c>
      <c r="BB184" s="146" t="str">
        <f>IFERROR(IF(AQ184=0,"",IF(($I184/12)=15,_xlfn.CONCAT(Constants!$N$7,TEXT(DATE(YEAR(H184)-(($I184/12)-3),MONTH(H184),DAY(H184)),"dd/mm/yyyy"),", ",Constants!$P$7,TEXT(DATE(YEAR(H184)-(($I184/12)-8),MONTH(H184),DAY(H184)),"dd/mm/yyyy"),", ",Constants!$T$7,TEXT(DATE(YEAR(H184)-(($I184/12)-11),MONTH(H184),DAY(H184)),"dd/mm/yyyy"),", ",Constants!$V$7,TEXT(DATE(YEAR(H184)-(($I184/12)-13),MONTH(H184),DAY(H184)),"dd/mm/yyyy"),", ",Constants!$W$7,TEXT($H184,"dd/mm/yyyy")),IF(($I184/12)=10,_xlfn.CONCAT(Constants!$N$6,TEXT(DATE(YEAR(H184)-(($I184/12)-2),MONTH(H184),DAY(H184)),"dd/mm/yyyy"),", ",Constants!$P$6,TEXT(DATE(YEAR(H184)-(($I184/12)-6),MONTH(H184),DAY(H184)),"dd/mm/yyyy"),", ",Constants!$T$6,TEXT(DATE(YEAR(H184)-(($I184/12)-8),MONTH(H184),DAY(H184)),"dd/mm/yyyy"),", ",Constants!$V$6,TEXT(DATE(YEAR(H184)-(($I184/12)-9),MONTH(H184),DAY(H184)),"dd/mm/yyyy"),", ",Constants!$W$6,TEXT($H184,"dd/mm/yyyy")),IF(($I184/12)=5,_xlfn.CONCAT(Constants!$N$5,TEXT(DATE(YEAR(H184)-(($I184/12)-1),MONTH(H184),DAY(H184)),"dd/mm/yyyy"),", ",Constants!$O$5,TEXT(DATE(YEAR(H184)-(($I184/12)-2),MONTH(H184),DAY(H184)),"dd/mm/yyyy"),", ",Constants!$P$5,TEXT(DATE(YEAR(H184)-(($I184/12)-3),MONTH(H184),DAY(H184)),"dd/mm/yyyy"),", ",Constants!$Q$5,TEXT(DATE(YEAR(H184)-(($I184/12)-4),MONTH(H184),DAY(H184)),"dd/mm/yyyy"),", ",Constants!$R$5,TEXT($H184,"dd/mm/yyyy")),IF(($I184/12)=3,_xlfn.CONCAT(Constants!$N$4,TEXT(DATE(YEAR(H184)-(($I184/12)-1),MONTH(H184),DAY(H184)),"dd/mm/yyyy"),", ",Constants!$O$4,TEXT(DATE(YEAR(H184)-(($I184/12)-2),MONTH(H184),DAY(H184)),"dd/mm/yyyy"),", ",Constants!$P$4,TEXT($H184,"dd/mm/yyyy")),IF(($I184/12)=2,_xlfn.CONCAT(Constants!$N$3,TEXT(DATE(YEAR(H184)-(($I184/12)-1),MONTH(H184),DAY(H184)),"dd/mm/yyyy"),", ",Constants!$O$3,TEXT($H184,"dd/mm/yyyy")),IF(($I184/12)=1,_xlfn.CONCAT(Constants!$N$2,TEXT($H184,"dd/mm/yyyy")),"Update Constants"))))))),"")</f>
        <v/>
      </c>
      <c r="BC184" s="147" t="str">
        <f>_xlfn.IFNA(VALUE(INDEX(Producer!$K:$K,MATCH($D184,Producer!$A:$A,0))),"")</f>
        <v/>
      </c>
      <c r="BD184" s="147" t="str">
        <f>_xlfn.IFNA(INDEX(Producer!$I:$I,MATCH($D184,Producer!$A:$A,0)),"")</f>
        <v/>
      </c>
      <c r="BE184" s="147" t="str">
        <f t="shared" si="64"/>
        <v/>
      </c>
      <c r="BF184" s="147"/>
      <c r="BG184" s="147"/>
      <c r="BH184" s="151" t="str">
        <f>_xlfn.IFNA(INDEX(Constants!$B:$B,MATCH(BC184,Constants!A:A,0)),"")</f>
        <v/>
      </c>
      <c r="BI184" s="147" t="str">
        <f>IF(LEFT(B184,15)="Limited Company",Constants!$D$16,IFERROR(_xlfn.IFNA(IF(C184="Residential",IF(BK184&lt;75,INDEX(Constants!$B:$B,MATCH(VALUE(60)/100,Constants!$A:$A,0)),INDEX(Constants!$B:$B,MATCH(VALUE(BK184)/100,Constants!$A:$A,0))),IF(BK184&lt;60,INDEX(Constants!$C:$C,MATCH(VALUE(60)/100,Constants!$A:$A,0)),INDEX(Constants!$C:$C,MATCH(VALUE(BK184)/100,Constants!$A:$A,0)))),""),""))</f>
        <v/>
      </c>
      <c r="BJ184" s="147" t="str">
        <f t="shared" si="65"/>
        <v/>
      </c>
      <c r="BK184" s="147" t="str">
        <f>_xlfn.IFNA(VALUE(INDEX(Producer!$E:$E,MATCH($D184,Producer!$A:$A,0)))*100,"")</f>
        <v/>
      </c>
      <c r="BL184" s="146" t="str">
        <f>_xlfn.IFNA(IF(IFERROR(FIND("Part &amp; Part",B184),-10)&gt;0,"PP",IF(OR(LEFT(B184,25)="Residential Interest Only",INDEX(Producer!$P:$P,MATCH($D184,Producer!$A:$A,0))="IO",INDEX(Producer!$P:$P,MATCH($D184,Producer!$A:$A,0))="Retirement Interest Only"),"IO",IF($C184="BuyToLet","CI, IO","CI"))),"")</f>
        <v/>
      </c>
      <c r="BM184" s="152" t="str">
        <f>_xlfn.IFNA(IF(BL184="IO",100%,IF(AND(INDEX(Producer!$P:$P,MATCH($D184,Producer!$A:$A,0))="Residential Interest Only Part &amp; Part",BK184=75),80%,IF(C184="BuyToLet",100%,IF(BL184="Interest Only",100%,IF(AND(INDEX(Producer!$P:$P,MATCH($D184,Producer!$A:$A,0))="Residential Interest Only Part &amp; Part",BK184=60),100%,""))))),"")</f>
        <v/>
      </c>
      <c r="BN184" s="218" t="str">
        <f>_xlfn.IFNA(IF(VALUE(INDEX(Producer!$H:$H,MATCH($D184,Producer!$A:$A,0)))=0,"",VALUE(INDEX(Producer!$H:$H,MATCH($D184,Producer!$A:$A,0)))),"")</f>
        <v/>
      </c>
      <c r="BO184" s="153"/>
      <c r="BP184" s="153"/>
      <c r="BQ184" s="219" t="str">
        <f t="shared" si="66"/>
        <v/>
      </c>
      <c r="BR184" s="146"/>
      <c r="BS184" s="146"/>
      <c r="BT184" s="146"/>
      <c r="BU184" s="146"/>
      <c r="BV184" s="219" t="str">
        <f t="shared" si="67"/>
        <v/>
      </c>
      <c r="BW184" s="146"/>
      <c r="BX184" s="146"/>
      <c r="BY184" s="146" t="str">
        <f t="shared" si="68"/>
        <v/>
      </c>
      <c r="BZ184" s="146" t="str">
        <f t="shared" si="69"/>
        <v/>
      </c>
      <c r="CA184" s="146" t="str">
        <f t="shared" si="70"/>
        <v/>
      </c>
      <c r="CB184" s="146" t="str">
        <f t="shared" si="71"/>
        <v/>
      </c>
      <c r="CC184" s="146" t="str">
        <f>_xlfn.IFNA(IF(INDEX(Producer!$P:$P,MATCH($D184,Producer!$A:$A,0))="Help to Buy","Only available","No"),"")</f>
        <v/>
      </c>
      <c r="CD184" s="146" t="str">
        <f>_xlfn.IFNA(IF(INDEX(Producer!$P:$P,MATCH($D184,Producer!$A:$A,0))="Shared Ownership","Only available","No"),"")</f>
        <v/>
      </c>
      <c r="CE184" s="146" t="str">
        <f>_xlfn.IFNA(IF(INDEX(Producer!$P:$P,MATCH($D184,Producer!$A:$A,0))="Right to Buy","Only available","No"),"")</f>
        <v/>
      </c>
      <c r="CF184" s="146" t="str">
        <f t="shared" si="72"/>
        <v/>
      </c>
      <c r="CG184" s="146" t="str">
        <f>_xlfn.IFNA(IF(INDEX(Producer!$P:$P,MATCH($D184,Producer!$A:$A,0))="Retirement Interest Only","Only available","No"),"")</f>
        <v/>
      </c>
      <c r="CH184" s="146" t="str">
        <f t="shared" si="73"/>
        <v/>
      </c>
      <c r="CI184" s="146" t="str">
        <f>_xlfn.IFNA(IF(INDEX(Producer!$P:$P,MATCH($D184,Producer!$A:$A,0))="Intermediary Holiday Let","Only available","No"),"")</f>
        <v/>
      </c>
      <c r="CJ184" s="146" t="str">
        <f t="shared" si="74"/>
        <v/>
      </c>
      <c r="CK184" s="146" t="str">
        <f>_xlfn.IFNA(IF(OR(INDEX(Producer!$P:$P,MATCH($D184,Producer!$A:$A,0))="Intermediary Small HMO",INDEX(Producer!$P:$P,MATCH($D184,Producer!$A:$A,0))="Intermediary Large HMO"),"Only available","No"),"")</f>
        <v/>
      </c>
      <c r="CL184" s="146" t="str">
        <f t="shared" si="75"/>
        <v/>
      </c>
      <c r="CM184" s="146" t="str">
        <f t="shared" si="76"/>
        <v/>
      </c>
      <c r="CN184" s="146" t="str">
        <f t="shared" si="77"/>
        <v/>
      </c>
      <c r="CO184" s="146" t="str">
        <f t="shared" si="78"/>
        <v/>
      </c>
      <c r="CP184" s="146" t="str">
        <f t="shared" si="79"/>
        <v/>
      </c>
      <c r="CQ184" s="146" t="str">
        <f t="shared" si="80"/>
        <v/>
      </c>
      <c r="CR184" s="146" t="str">
        <f t="shared" si="81"/>
        <v/>
      </c>
      <c r="CS184" s="146" t="str">
        <f t="shared" si="82"/>
        <v/>
      </c>
      <c r="CT184" s="146" t="str">
        <f t="shared" si="83"/>
        <v/>
      </c>
      <c r="CU184" s="146"/>
    </row>
    <row r="185" spans="1:99" ht="16.399999999999999" customHeight="1" x14ac:dyDescent="0.35">
      <c r="A185" s="145" t="str">
        <f t="shared" si="56"/>
        <v/>
      </c>
      <c r="B185" s="145" t="str">
        <f>_xlfn.IFNA(_xlfn.CONCAT(INDEX(Producer!$P:$P,MATCH($D185,Producer!$A:$A,0))," ",IF(INDEX(Producer!$N:$N,MATCH($D185,Producer!$A:$A,0))="Yes","Green ",""),IF(AND(INDEX(Producer!$L:$L,MATCH($D185,Producer!$A:$A,0))="No",INDEX(Producer!$C:$C,MATCH($D185,Producer!$A:$A,0))="Fixed"),"Flexit ",""),INDEX(Producer!$B:$B,MATCH($D185,Producer!$A:$A,0))," Year ",INDEX(Producer!$C:$C,MATCH($D185,Producer!$A:$A,0))," ",VALUE(INDEX(Producer!$E:$E,MATCH($D185,Producer!$A:$A,0)))*100,"% LTV",IF(INDEX(Producer!$N:$N,MATCH($D185,Producer!$A:$A,0))="Yes"," (EPC A-C)","")," - ",IF(INDEX(Producer!$D:$D,MATCH($D185,Producer!$A:$A,0))="DLY","Daily","Annual")),"")</f>
        <v/>
      </c>
      <c r="C185" s="146" t="str">
        <f>_xlfn.IFNA(INDEX(Producer!$Q:$Q,MATCH($D185,Producer!$A:$A,0)),"")</f>
        <v/>
      </c>
      <c r="D185" s="146" t="str">
        <f>IFERROR(VALUE(MID(Producer!$R$2,IF($D184="",1/0,FIND(_xlfn.CONCAT($D183,$D184),Producer!$R$2)+10),5)),"")</f>
        <v/>
      </c>
      <c r="E185" s="146" t="str">
        <f t="shared" si="57"/>
        <v/>
      </c>
      <c r="F185" s="146"/>
      <c r="G185" s="147" t="str">
        <f>_xlfn.IFNA(VALUE(INDEX(Producer!$F:$F,MATCH($D185,Producer!$A:$A,0)))*100,"")</f>
        <v/>
      </c>
      <c r="H185" s="216" t="str">
        <f>_xlfn.IFNA(IFERROR(DATEVALUE(INDEX(Producer!$M:$M,MATCH($D185,Producer!$A:$A,0))),(INDEX(Producer!$M:$M,MATCH($D185,Producer!$A:$A,0)))),"")</f>
        <v/>
      </c>
      <c r="I185" s="217" t="str">
        <f>_xlfn.IFNA(VALUE(INDEX(Producer!$B:$B,MATCH($D185,Producer!$A:$A,0)))*12,"")</f>
        <v/>
      </c>
      <c r="J185" s="146" t="str">
        <f>_xlfn.IFNA(IF(C185="Residential",IF(VALUE(INDEX(Producer!$B:$B,MATCH($D185,Producer!$A:$A,0)))&lt;5,Constants!$C$10,""),IF(VALUE(INDEX(Producer!$B:$B,MATCH($D185,Producer!$A:$A,0)))&lt;5,Constants!$C$11,"")),"")</f>
        <v/>
      </c>
      <c r="K185" s="216" t="str">
        <f>_xlfn.IFNA(IF(($I185)&lt;60,DATE(YEAR(H185)+(5-VALUE(INDEX(Producer!$B:$B,MATCH($D185,Producer!$A:$A,0)))),MONTH(H185),DAY(H185)),""),"")</f>
        <v/>
      </c>
      <c r="L185" s="153" t="str">
        <f t="shared" si="58"/>
        <v/>
      </c>
      <c r="M185" s="146"/>
      <c r="N185" s="148"/>
      <c r="O185" s="148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 t="str">
        <f>IF(D185="","",IF(C185="Residential",Constants!$B$10,Constants!$B$11))</f>
        <v/>
      </c>
      <c r="AL185" s="146" t="str">
        <f t="shared" si="59"/>
        <v/>
      </c>
      <c r="AM185" s="206" t="str">
        <f t="shared" si="60"/>
        <v/>
      </c>
      <c r="AN185" s="146" t="str">
        <f t="shared" si="61"/>
        <v/>
      </c>
      <c r="AO185" s="149" t="str">
        <f t="shared" si="62"/>
        <v/>
      </c>
      <c r="AP185" s="150" t="str">
        <f t="shared" si="63"/>
        <v/>
      </c>
      <c r="AQ185" s="146" t="str">
        <f>IFERROR(_xlfn.IFNA(IF($BA185="No",0,IF(INDEX(Constants!B:B,MATCH(($I185/12),Constants!$A:$A,0))=0,0,INDEX(Constants!B:B,MATCH(($I185/12),Constants!$A:$A,0)))),0),"")</f>
        <v/>
      </c>
      <c r="AR185" s="146" t="str">
        <f>IFERROR(_xlfn.IFNA(IF($BA185="No",0,IF(INDEX(Constants!C:C,MATCH(($I185/12),Constants!$A:$A,0))=0,0,INDEX(Constants!C:C,MATCH(($I185/12),Constants!$A:$A,0)))),0),"")</f>
        <v/>
      </c>
      <c r="AS185" s="146" t="str">
        <f>IFERROR(_xlfn.IFNA(IF($BA185="No",0,IF(INDEX(Constants!D:D,MATCH(($I185/12),Constants!$A:$A,0))=0,0,INDEX(Constants!D:D,MATCH(($I185/12),Constants!$A:$A,0)))),0),"")</f>
        <v/>
      </c>
      <c r="AT185" s="146" t="str">
        <f>IFERROR(_xlfn.IFNA(IF($BA185="No",0,IF(INDEX(Constants!E:E,MATCH(($I185/12),Constants!$A:$A,0))=0,0,INDEX(Constants!E:E,MATCH(($I185/12),Constants!$A:$A,0)))),0),"")</f>
        <v/>
      </c>
      <c r="AU185" s="146" t="str">
        <f>IFERROR(_xlfn.IFNA(IF($BA185="No",0,IF(INDEX(Constants!F:F,MATCH(($I185/12),Constants!$A:$A,0))=0,0,INDEX(Constants!F:F,MATCH(($I185/12),Constants!$A:$A,0)))),0),"")</f>
        <v/>
      </c>
      <c r="AV185" s="146" t="str">
        <f>IFERROR(_xlfn.IFNA(IF($BA185="No",0,IF(INDEX(Constants!G:G,MATCH(($I185/12),Constants!$A:$A,0))=0,0,INDEX(Constants!G:G,MATCH(($I185/12),Constants!$A:$A,0)))),0),"")</f>
        <v/>
      </c>
      <c r="AW185" s="146" t="str">
        <f>IFERROR(_xlfn.IFNA(IF($BA185="No",0,IF(INDEX(Constants!H:H,MATCH(($I185/12),Constants!$A:$A,0))=0,0,INDEX(Constants!H:H,MATCH(($I185/12),Constants!$A:$A,0)))),0),"")</f>
        <v/>
      </c>
      <c r="AX185" s="146" t="str">
        <f>IFERROR(_xlfn.IFNA(IF($BA185="No",0,IF(INDEX(Constants!I:I,MATCH(($I185/12),Constants!$A:$A,0))=0,0,INDEX(Constants!I:I,MATCH(($I185/12),Constants!$A:$A,0)))),0),"")</f>
        <v/>
      </c>
      <c r="AY185" s="146" t="str">
        <f>IFERROR(_xlfn.IFNA(IF($BA185="No",0,IF(INDEX(Constants!J:J,MATCH(($I185/12),Constants!$A:$A,0))=0,0,INDEX(Constants!J:J,MATCH(($I185/12),Constants!$A:$A,0)))),0),"")</f>
        <v/>
      </c>
      <c r="AZ185" s="146" t="str">
        <f>IFERROR(_xlfn.IFNA(IF($BA185="No",0,IF(INDEX(Constants!K:K,MATCH(($I185/12),Constants!$A:$A,0))=0,0,INDEX(Constants!K:K,MATCH(($I185/12),Constants!$A:$A,0)))),0),"")</f>
        <v/>
      </c>
      <c r="BA185" s="147" t="str">
        <f>_xlfn.IFNA(INDEX(Producer!$L:$L,MATCH($D185,Producer!$A:$A,0)),"")</f>
        <v/>
      </c>
      <c r="BB185" s="146" t="str">
        <f>IFERROR(IF(AQ185=0,"",IF(($I185/12)=15,_xlfn.CONCAT(Constants!$N$7,TEXT(DATE(YEAR(H185)-(($I185/12)-3),MONTH(H185),DAY(H185)),"dd/mm/yyyy"),", ",Constants!$P$7,TEXT(DATE(YEAR(H185)-(($I185/12)-8),MONTH(H185),DAY(H185)),"dd/mm/yyyy"),", ",Constants!$T$7,TEXT(DATE(YEAR(H185)-(($I185/12)-11),MONTH(H185),DAY(H185)),"dd/mm/yyyy"),", ",Constants!$V$7,TEXT(DATE(YEAR(H185)-(($I185/12)-13),MONTH(H185),DAY(H185)),"dd/mm/yyyy"),", ",Constants!$W$7,TEXT($H185,"dd/mm/yyyy")),IF(($I185/12)=10,_xlfn.CONCAT(Constants!$N$6,TEXT(DATE(YEAR(H185)-(($I185/12)-2),MONTH(H185),DAY(H185)),"dd/mm/yyyy"),", ",Constants!$P$6,TEXT(DATE(YEAR(H185)-(($I185/12)-6),MONTH(H185),DAY(H185)),"dd/mm/yyyy"),", ",Constants!$T$6,TEXT(DATE(YEAR(H185)-(($I185/12)-8),MONTH(H185),DAY(H185)),"dd/mm/yyyy"),", ",Constants!$V$6,TEXT(DATE(YEAR(H185)-(($I185/12)-9),MONTH(H185),DAY(H185)),"dd/mm/yyyy"),", ",Constants!$W$6,TEXT($H185,"dd/mm/yyyy")),IF(($I185/12)=5,_xlfn.CONCAT(Constants!$N$5,TEXT(DATE(YEAR(H185)-(($I185/12)-1),MONTH(H185),DAY(H185)),"dd/mm/yyyy"),", ",Constants!$O$5,TEXT(DATE(YEAR(H185)-(($I185/12)-2),MONTH(H185),DAY(H185)),"dd/mm/yyyy"),", ",Constants!$P$5,TEXT(DATE(YEAR(H185)-(($I185/12)-3),MONTH(H185),DAY(H185)),"dd/mm/yyyy"),", ",Constants!$Q$5,TEXT(DATE(YEAR(H185)-(($I185/12)-4),MONTH(H185),DAY(H185)),"dd/mm/yyyy"),", ",Constants!$R$5,TEXT($H185,"dd/mm/yyyy")),IF(($I185/12)=3,_xlfn.CONCAT(Constants!$N$4,TEXT(DATE(YEAR(H185)-(($I185/12)-1),MONTH(H185),DAY(H185)),"dd/mm/yyyy"),", ",Constants!$O$4,TEXT(DATE(YEAR(H185)-(($I185/12)-2),MONTH(H185),DAY(H185)),"dd/mm/yyyy"),", ",Constants!$P$4,TEXT($H185,"dd/mm/yyyy")),IF(($I185/12)=2,_xlfn.CONCAT(Constants!$N$3,TEXT(DATE(YEAR(H185)-(($I185/12)-1),MONTH(H185),DAY(H185)),"dd/mm/yyyy"),", ",Constants!$O$3,TEXT($H185,"dd/mm/yyyy")),IF(($I185/12)=1,_xlfn.CONCAT(Constants!$N$2,TEXT($H185,"dd/mm/yyyy")),"Update Constants"))))))),"")</f>
        <v/>
      </c>
      <c r="BC185" s="147" t="str">
        <f>_xlfn.IFNA(VALUE(INDEX(Producer!$K:$K,MATCH($D185,Producer!$A:$A,0))),"")</f>
        <v/>
      </c>
      <c r="BD185" s="147" t="str">
        <f>_xlfn.IFNA(INDEX(Producer!$I:$I,MATCH($D185,Producer!$A:$A,0)),"")</f>
        <v/>
      </c>
      <c r="BE185" s="147" t="str">
        <f t="shared" si="64"/>
        <v/>
      </c>
      <c r="BF185" s="147"/>
      <c r="BG185" s="147"/>
      <c r="BH185" s="151" t="str">
        <f>_xlfn.IFNA(INDEX(Constants!$B:$B,MATCH(BC185,Constants!A:A,0)),"")</f>
        <v/>
      </c>
      <c r="BI185" s="147" t="str">
        <f>IF(LEFT(B185,15)="Limited Company",Constants!$D$16,IFERROR(_xlfn.IFNA(IF(C185="Residential",IF(BK185&lt;75,INDEX(Constants!$B:$B,MATCH(VALUE(60)/100,Constants!$A:$A,0)),INDEX(Constants!$B:$B,MATCH(VALUE(BK185)/100,Constants!$A:$A,0))),IF(BK185&lt;60,INDEX(Constants!$C:$C,MATCH(VALUE(60)/100,Constants!$A:$A,0)),INDEX(Constants!$C:$C,MATCH(VALUE(BK185)/100,Constants!$A:$A,0)))),""),""))</f>
        <v/>
      </c>
      <c r="BJ185" s="147" t="str">
        <f t="shared" si="65"/>
        <v/>
      </c>
      <c r="BK185" s="147" t="str">
        <f>_xlfn.IFNA(VALUE(INDEX(Producer!$E:$E,MATCH($D185,Producer!$A:$A,0)))*100,"")</f>
        <v/>
      </c>
      <c r="BL185" s="146" t="str">
        <f>_xlfn.IFNA(IF(IFERROR(FIND("Part &amp; Part",B185),-10)&gt;0,"PP",IF(OR(LEFT(B185,25)="Residential Interest Only",INDEX(Producer!$P:$P,MATCH($D185,Producer!$A:$A,0))="IO",INDEX(Producer!$P:$P,MATCH($D185,Producer!$A:$A,0))="Retirement Interest Only"),"IO",IF($C185="BuyToLet","CI, IO","CI"))),"")</f>
        <v/>
      </c>
      <c r="BM185" s="152" t="str">
        <f>_xlfn.IFNA(IF(BL185="IO",100%,IF(AND(INDEX(Producer!$P:$P,MATCH($D185,Producer!$A:$A,0))="Residential Interest Only Part &amp; Part",BK185=75),80%,IF(C185="BuyToLet",100%,IF(BL185="Interest Only",100%,IF(AND(INDEX(Producer!$P:$P,MATCH($D185,Producer!$A:$A,0))="Residential Interest Only Part &amp; Part",BK185=60),100%,""))))),"")</f>
        <v/>
      </c>
      <c r="BN185" s="218" t="str">
        <f>_xlfn.IFNA(IF(VALUE(INDEX(Producer!$H:$H,MATCH($D185,Producer!$A:$A,0)))=0,"",VALUE(INDEX(Producer!$H:$H,MATCH($D185,Producer!$A:$A,0)))),"")</f>
        <v/>
      </c>
      <c r="BO185" s="153"/>
      <c r="BP185" s="153"/>
      <c r="BQ185" s="219" t="str">
        <f t="shared" si="66"/>
        <v/>
      </c>
      <c r="BR185" s="146"/>
      <c r="BS185" s="146"/>
      <c r="BT185" s="146"/>
      <c r="BU185" s="146"/>
      <c r="BV185" s="219" t="str">
        <f t="shared" si="67"/>
        <v/>
      </c>
      <c r="BW185" s="146"/>
      <c r="BX185" s="146"/>
      <c r="BY185" s="146" t="str">
        <f t="shared" si="68"/>
        <v/>
      </c>
      <c r="BZ185" s="146" t="str">
        <f t="shared" si="69"/>
        <v/>
      </c>
      <c r="CA185" s="146" t="str">
        <f t="shared" si="70"/>
        <v/>
      </c>
      <c r="CB185" s="146" t="str">
        <f t="shared" si="71"/>
        <v/>
      </c>
      <c r="CC185" s="146" t="str">
        <f>_xlfn.IFNA(IF(INDEX(Producer!$P:$P,MATCH($D185,Producer!$A:$A,0))="Help to Buy","Only available","No"),"")</f>
        <v/>
      </c>
      <c r="CD185" s="146" t="str">
        <f>_xlfn.IFNA(IF(INDEX(Producer!$P:$P,MATCH($D185,Producer!$A:$A,0))="Shared Ownership","Only available","No"),"")</f>
        <v/>
      </c>
      <c r="CE185" s="146" t="str">
        <f>_xlfn.IFNA(IF(INDEX(Producer!$P:$P,MATCH($D185,Producer!$A:$A,0))="Right to Buy","Only available","No"),"")</f>
        <v/>
      </c>
      <c r="CF185" s="146" t="str">
        <f t="shared" si="72"/>
        <v/>
      </c>
      <c r="CG185" s="146" t="str">
        <f>_xlfn.IFNA(IF(INDEX(Producer!$P:$P,MATCH($D185,Producer!$A:$A,0))="Retirement Interest Only","Only available","No"),"")</f>
        <v/>
      </c>
      <c r="CH185" s="146" t="str">
        <f t="shared" si="73"/>
        <v/>
      </c>
      <c r="CI185" s="146" t="str">
        <f>_xlfn.IFNA(IF(INDEX(Producer!$P:$P,MATCH($D185,Producer!$A:$A,0))="Intermediary Holiday Let","Only available","No"),"")</f>
        <v/>
      </c>
      <c r="CJ185" s="146" t="str">
        <f t="shared" si="74"/>
        <v/>
      </c>
      <c r="CK185" s="146" t="str">
        <f>_xlfn.IFNA(IF(OR(INDEX(Producer!$P:$P,MATCH($D185,Producer!$A:$A,0))="Intermediary Small HMO",INDEX(Producer!$P:$P,MATCH($D185,Producer!$A:$A,0))="Intermediary Large HMO"),"Only available","No"),"")</f>
        <v/>
      </c>
      <c r="CL185" s="146" t="str">
        <f t="shared" si="75"/>
        <v/>
      </c>
      <c r="CM185" s="146" t="str">
        <f t="shared" si="76"/>
        <v/>
      </c>
      <c r="CN185" s="146" t="str">
        <f t="shared" si="77"/>
        <v/>
      </c>
      <c r="CO185" s="146" t="str">
        <f t="shared" si="78"/>
        <v/>
      </c>
      <c r="CP185" s="146" t="str">
        <f t="shared" si="79"/>
        <v/>
      </c>
      <c r="CQ185" s="146" t="str">
        <f t="shared" si="80"/>
        <v/>
      </c>
      <c r="CR185" s="146" t="str">
        <f t="shared" si="81"/>
        <v/>
      </c>
      <c r="CS185" s="146" t="str">
        <f t="shared" si="82"/>
        <v/>
      </c>
      <c r="CT185" s="146" t="str">
        <f t="shared" si="83"/>
        <v/>
      </c>
      <c r="CU185" s="146"/>
    </row>
    <row r="186" spans="1:99" ht="16.399999999999999" customHeight="1" x14ac:dyDescent="0.35">
      <c r="A186" s="145" t="str">
        <f t="shared" si="56"/>
        <v/>
      </c>
      <c r="B186" s="145" t="str">
        <f>_xlfn.IFNA(_xlfn.CONCAT(INDEX(Producer!$P:$P,MATCH($D186,Producer!$A:$A,0))," ",IF(INDEX(Producer!$N:$N,MATCH($D186,Producer!$A:$A,0))="Yes","Green ",""),IF(AND(INDEX(Producer!$L:$L,MATCH($D186,Producer!$A:$A,0))="No",INDEX(Producer!$C:$C,MATCH($D186,Producer!$A:$A,0))="Fixed"),"Flexit ",""),INDEX(Producer!$B:$B,MATCH($D186,Producer!$A:$A,0))," Year ",INDEX(Producer!$C:$C,MATCH($D186,Producer!$A:$A,0))," ",VALUE(INDEX(Producer!$E:$E,MATCH($D186,Producer!$A:$A,0)))*100,"% LTV",IF(INDEX(Producer!$N:$N,MATCH($D186,Producer!$A:$A,0))="Yes"," (EPC A-C)","")," - ",IF(INDEX(Producer!$D:$D,MATCH($D186,Producer!$A:$A,0))="DLY","Daily","Annual")),"")</f>
        <v/>
      </c>
      <c r="C186" s="146" t="str">
        <f>_xlfn.IFNA(INDEX(Producer!$Q:$Q,MATCH($D186,Producer!$A:$A,0)),"")</f>
        <v/>
      </c>
      <c r="D186" s="146" t="str">
        <f>IFERROR(VALUE(MID(Producer!$R$2,IF($D185="",1/0,FIND(_xlfn.CONCAT($D184,$D185),Producer!$R$2)+10),5)),"")</f>
        <v/>
      </c>
      <c r="E186" s="146" t="str">
        <f t="shared" si="57"/>
        <v/>
      </c>
      <c r="F186" s="146"/>
      <c r="G186" s="147" t="str">
        <f>_xlfn.IFNA(VALUE(INDEX(Producer!$F:$F,MATCH($D186,Producer!$A:$A,0)))*100,"")</f>
        <v/>
      </c>
      <c r="H186" s="216" t="str">
        <f>_xlfn.IFNA(IFERROR(DATEVALUE(INDEX(Producer!$M:$M,MATCH($D186,Producer!$A:$A,0))),(INDEX(Producer!$M:$M,MATCH($D186,Producer!$A:$A,0)))),"")</f>
        <v/>
      </c>
      <c r="I186" s="217" t="str">
        <f>_xlfn.IFNA(VALUE(INDEX(Producer!$B:$B,MATCH($D186,Producer!$A:$A,0)))*12,"")</f>
        <v/>
      </c>
      <c r="J186" s="146" t="str">
        <f>_xlfn.IFNA(IF(C186="Residential",IF(VALUE(INDEX(Producer!$B:$B,MATCH($D186,Producer!$A:$A,0)))&lt;5,Constants!$C$10,""),IF(VALUE(INDEX(Producer!$B:$B,MATCH($D186,Producer!$A:$A,0)))&lt;5,Constants!$C$11,"")),"")</f>
        <v/>
      </c>
      <c r="K186" s="216" t="str">
        <f>_xlfn.IFNA(IF(($I186)&lt;60,DATE(YEAR(H186)+(5-VALUE(INDEX(Producer!$B:$B,MATCH($D186,Producer!$A:$A,0)))),MONTH(H186),DAY(H186)),""),"")</f>
        <v/>
      </c>
      <c r="L186" s="153" t="str">
        <f t="shared" si="58"/>
        <v/>
      </c>
      <c r="M186" s="146"/>
      <c r="N186" s="148"/>
      <c r="O186" s="148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6"/>
      <c r="AK186" s="146" t="str">
        <f>IF(D186="","",IF(C186="Residential",Constants!$B$10,Constants!$B$11))</f>
        <v/>
      </c>
      <c r="AL186" s="146" t="str">
        <f t="shared" si="59"/>
        <v/>
      </c>
      <c r="AM186" s="206" t="str">
        <f t="shared" si="60"/>
        <v/>
      </c>
      <c r="AN186" s="146" t="str">
        <f t="shared" si="61"/>
        <v/>
      </c>
      <c r="AO186" s="149" t="str">
        <f t="shared" si="62"/>
        <v/>
      </c>
      <c r="AP186" s="150" t="str">
        <f t="shared" si="63"/>
        <v/>
      </c>
      <c r="AQ186" s="146" t="str">
        <f>IFERROR(_xlfn.IFNA(IF($BA186="No",0,IF(INDEX(Constants!B:B,MATCH(($I186/12),Constants!$A:$A,0))=0,0,INDEX(Constants!B:B,MATCH(($I186/12),Constants!$A:$A,0)))),0),"")</f>
        <v/>
      </c>
      <c r="AR186" s="146" t="str">
        <f>IFERROR(_xlfn.IFNA(IF($BA186="No",0,IF(INDEX(Constants!C:C,MATCH(($I186/12),Constants!$A:$A,0))=0,0,INDEX(Constants!C:C,MATCH(($I186/12),Constants!$A:$A,0)))),0),"")</f>
        <v/>
      </c>
      <c r="AS186" s="146" t="str">
        <f>IFERROR(_xlfn.IFNA(IF($BA186="No",0,IF(INDEX(Constants!D:D,MATCH(($I186/12),Constants!$A:$A,0))=0,0,INDEX(Constants!D:D,MATCH(($I186/12),Constants!$A:$A,0)))),0),"")</f>
        <v/>
      </c>
      <c r="AT186" s="146" t="str">
        <f>IFERROR(_xlfn.IFNA(IF($BA186="No",0,IF(INDEX(Constants!E:E,MATCH(($I186/12),Constants!$A:$A,0))=0,0,INDEX(Constants!E:E,MATCH(($I186/12),Constants!$A:$A,0)))),0),"")</f>
        <v/>
      </c>
      <c r="AU186" s="146" t="str">
        <f>IFERROR(_xlfn.IFNA(IF($BA186="No",0,IF(INDEX(Constants!F:F,MATCH(($I186/12),Constants!$A:$A,0))=0,0,INDEX(Constants!F:F,MATCH(($I186/12),Constants!$A:$A,0)))),0),"")</f>
        <v/>
      </c>
      <c r="AV186" s="146" t="str">
        <f>IFERROR(_xlfn.IFNA(IF($BA186="No",0,IF(INDEX(Constants!G:G,MATCH(($I186/12),Constants!$A:$A,0))=0,0,INDEX(Constants!G:G,MATCH(($I186/12),Constants!$A:$A,0)))),0),"")</f>
        <v/>
      </c>
      <c r="AW186" s="146" t="str">
        <f>IFERROR(_xlfn.IFNA(IF($BA186="No",0,IF(INDEX(Constants!H:H,MATCH(($I186/12),Constants!$A:$A,0))=0,0,INDEX(Constants!H:H,MATCH(($I186/12),Constants!$A:$A,0)))),0),"")</f>
        <v/>
      </c>
      <c r="AX186" s="146" t="str">
        <f>IFERROR(_xlfn.IFNA(IF($BA186="No",0,IF(INDEX(Constants!I:I,MATCH(($I186/12),Constants!$A:$A,0))=0,0,INDEX(Constants!I:I,MATCH(($I186/12),Constants!$A:$A,0)))),0),"")</f>
        <v/>
      </c>
      <c r="AY186" s="146" t="str">
        <f>IFERROR(_xlfn.IFNA(IF($BA186="No",0,IF(INDEX(Constants!J:J,MATCH(($I186/12),Constants!$A:$A,0))=0,0,INDEX(Constants!J:J,MATCH(($I186/12),Constants!$A:$A,0)))),0),"")</f>
        <v/>
      </c>
      <c r="AZ186" s="146" t="str">
        <f>IFERROR(_xlfn.IFNA(IF($BA186="No",0,IF(INDEX(Constants!K:K,MATCH(($I186/12),Constants!$A:$A,0))=0,0,INDEX(Constants!K:K,MATCH(($I186/12),Constants!$A:$A,0)))),0),"")</f>
        <v/>
      </c>
      <c r="BA186" s="147" t="str">
        <f>_xlfn.IFNA(INDEX(Producer!$L:$L,MATCH($D186,Producer!$A:$A,0)),"")</f>
        <v/>
      </c>
      <c r="BB186" s="146" t="str">
        <f>IFERROR(IF(AQ186=0,"",IF(($I186/12)=15,_xlfn.CONCAT(Constants!$N$7,TEXT(DATE(YEAR(H186)-(($I186/12)-3),MONTH(H186),DAY(H186)),"dd/mm/yyyy"),", ",Constants!$P$7,TEXT(DATE(YEAR(H186)-(($I186/12)-8),MONTH(H186),DAY(H186)),"dd/mm/yyyy"),", ",Constants!$T$7,TEXT(DATE(YEAR(H186)-(($I186/12)-11),MONTH(H186),DAY(H186)),"dd/mm/yyyy"),", ",Constants!$V$7,TEXT(DATE(YEAR(H186)-(($I186/12)-13),MONTH(H186),DAY(H186)),"dd/mm/yyyy"),", ",Constants!$W$7,TEXT($H186,"dd/mm/yyyy")),IF(($I186/12)=10,_xlfn.CONCAT(Constants!$N$6,TEXT(DATE(YEAR(H186)-(($I186/12)-2),MONTH(H186),DAY(H186)),"dd/mm/yyyy"),", ",Constants!$P$6,TEXT(DATE(YEAR(H186)-(($I186/12)-6),MONTH(H186),DAY(H186)),"dd/mm/yyyy"),", ",Constants!$T$6,TEXT(DATE(YEAR(H186)-(($I186/12)-8),MONTH(H186),DAY(H186)),"dd/mm/yyyy"),", ",Constants!$V$6,TEXT(DATE(YEAR(H186)-(($I186/12)-9),MONTH(H186),DAY(H186)),"dd/mm/yyyy"),", ",Constants!$W$6,TEXT($H186,"dd/mm/yyyy")),IF(($I186/12)=5,_xlfn.CONCAT(Constants!$N$5,TEXT(DATE(YEAR(H186)-(($I186/12)-1),MONTH(H186),DAY(H186)),"dd/mm/yyyy"),", ",Constants!$O$5,TEXT(DATE(YEAR(H186)-(($I186/12)-2),MONTH(H186),DAY(H186)),"dd/mm/yyyy"),", ",Constants!$P$5,TEXT(DATE(YEAR(H186)-(($I186/12)-3),MONTH(H186),DAY(H186)),"dd/mm/yyyy"),", ",Constants!$Q$5,TEXT(DATE(YEAR(H186)-(($I186/12)-4),MONTH(H186),DAY(H186)),"dd/mm/yyyy"),", ",Constants!$R$5,TEXT($H186,"dd/mm/yyyy")),IF(($I186/12)=3,_xlfn.CONCAT(Constants!$N$4,TEXT(DATE(YEAR(H186)-(($I186/12)-1),MONTH(H186),DAY(H186)),"dd/mm/yyyy"),", ",Constants!$O$4,TEXT(DATE(YEAR(H186)-(($I186/12)-2),MONTH(H186),DAY(H186)),"dd/mm/yyyy"),", ",Constants!$P$4,TEXT($H186,"dd/mm/yyyy")),IF(($I186/12)=2,_xlfn.CONCAT(Constants!$N$3,TEXT(DATE(YEAR(H186)-(($I186/12)-1),MONTH(H186),DAY(H186)),"dd/mm/yyyy"),", ",Constants!$O$3,TEXT($H186,"dd/mm/yyyy")),IF(($I186/12)=1,_xlfn.CONCAT(Constants!$N$2,TEXT($H186,"dd/mm/yyyy")),"Update Constants"))))))),"")</f>
        <v/>
      </c>
      <c r="BC186" s="147" t="str">
        <f>_xlfn.IFNA(VALUE(INDEX(Producer!$K:$K,MATCH($D186,Producer!$A:$A,0))),"")</f>
        <v/>
      </c>
      <c r="BD186" s="147" t="str">
        <f>_xlfn.IFNA(INDEX(Producer!$I:$I,MATCH($D186,Producer!$A:$A,0)),"")</f>
        <v/>
      </c>
      <c r="BE186" s="147" t="str">
        <f t="shared" si="64"/>
        <v/>
      </c>
      <c r="BF186" s="147"/>
      <c r="BG186" s="147"/>
      <c r="BH186" s="151" t="str">
        <f>_xlfn.IFNA(INDEX(Constants!$B:$B,MATCH(BC186,Constants!A:A,0)),"")</f>
        <v/>
      </c>
      <c r="BI186" s="147" t="str">
        <f>IF(LEFT(B186,15)="Limited Company",Constants!$D$16,IFERROR(_xlfn.IFNA(IF(C186="Residential",IF(BK186&lt;75,INDEX(Constants!$B:$B,MATCH(VALUE(60)/100,Constants!$A:$A,0)),INDEX(Constants!$B:$B,MATCH(VALUE(BK186)/100,Constants!$A:$A,0))),IF(BK186&lt;60,INDEX(Constants!$C:$C,MATCH(VALUE(60)/100,Constants!$A:$A,0)),INDEX(Constants!$C:$C,MATCH(VALUE(BK186)/100,Constants!$A:$A,0)))),""),""))</f>
        <v/>
      </c>
      <c r="BJ186" s="147" t="str">
        <f t="shared" si="65"/>
        <v/>
      </c>
      <c r="BK186" s="147" t="str">
        <f>_xlfn.IFNA(VALUE(INDEX(Producer!$E:$E,MATCH($D186,Producer!$A:$A,0)))*100,"")</f>
        <v/>
      </c>
      <c r="BL186" s="146" t="str">
        <f>_xlfn.IFNA(IF(IFERROR(FIND("Part &amp; Part",B186),-10)&gt;0,"PP",IF(OR(LEFT(B186,25)="Residential Interest Only",INDEX(Producer!$P:$P,MATCH($D186,Producer!$A:$A,0))="IO",INDEX(Producer!$P:$P,MATCH($D186,Producer!$A:$A,0))="Retirement Interest Only"),"IO",IF($C186="BuyToLet","CI, IO","CI"))),"")</f>
        <v/>
      </c>
      <c r="BM186" s="152" t="str">
        <f>_xlfn.IFNA(IF(BL186="IO",100%,IF(AND(INDEX(Producer!$P:$P,MATCH($D186,Producer!$A:$A,0))="Residential Interest Only Part &amp; Part",BK186=75),80%,IF(C186="BuyToLet",100%,IF(BL186="Interest Only",100%,IF(AND(INDEX(Producer!$P:$P,MATCH($D186,Producer!$A:$A,0))="Residential Interest Only Part &amp; Part",BK186=60),100%,""))))),"")</f>
        <v/>
      </c>
      <c r="BN186" s="218" t="str">
        <f>_xlfn.IFNA(IF(VALUE(INDEX(Producer!$H:$H,MATCH($D186,Producer!$A:$A,0)))=0,"",VALUE(INDEX(Producer!$H:$H,MATCH($D186,Producer!$A:$A,0)))),"")</f>
        <v/>
      </c>
      <c r="BO186" s="153"/>
      <c r="BP186" s="153"/>
      <c r="BQ186" s="219" t="str">
        <f t="shared" si="66"/>
        <v/>
      </c>
      <c r="BR186" s="146"/>
      <c r="BS186" s="146"/>
      <c r="BT186" s="146"/>
      <c r="BU186" s="146"/>
      <c r="BV186" s="219" t="str">
        <f t="shared" si="67"/>
        <v/>
      </c>
      <c r="BW186" s="146"/>
      <c r="BX186" s="146"/>
      <c r="BY186" s="146" t="str">
        <f t="shared" si="68"/>
        <v/>
      </c>
      <c r="BZ186" s="146" t="str">
        <f t="shared" si="69"/>
        <v/>
      </c>
      <c r="CA186" s="146" t="str">
        <f t="shared" si="70"/>
        <v/>
      </c>
      <c r="CB186" s="146" t="str">
        <f t="shared" si="71"/>
        <v/>
      </c>
      <c r="CC186" s="146" t="str">
        <f>_xlfn.IFNA(IF(INDEX(Producer!$P:$P,MATCH($D186,Producer!$A:$A,0))="Help to Buy","Only available","No"),"")</f>
        <v/>
      </c>
      <c r="CD186" s="146" t="str">
        <f>_xlfn.IFNA(IF(INDEX(Producer!$P:$P,MATCH($D186,Producer!$A:$A,0))="Shared Ownership","Only available","No"),"")</f>
        <v/>
      </c>
      <c r="CE186" s="146" t="str">
        <f>_xlfn.IFNA(IF(INDEX(Producer!$P:$P,MATCH($D186,Producer!$A:$A,0))="Right to Buy","Only available","No"),"")</f>
        <v/>
      </c>
      <c r="CF186" s="146" t="str">
        <f t="shared" si="72"/>
        <v/>
      </c>
      <c r="CG186" s="146" t="str">
        <f>_xlfn.IFNA(IF(INDEX(Producer!$P:$P,MATCH($D186,Producer!$A:$A,0))="Retirement Interest Only","Only available","No"),"")</f>
        <v/>
      </c>
      <c r="CH186" s="146" t="str">
        <f t="shared" si="73"/>
        <v/>
      </c>
      <c r="CI186" s="146" t="str">
        <f>_xlfn.IFNA(IF(INDEX(Producer!$P:$P,MATCH($D186,Producer!$A:$A,0))="Intermediary Holiday Let","Only available","No"),"")</f>
        <v/>
      </c>
      <c r="CJ186" s="146" t="str">
        <f t="shared" si="74"/>
        <v/>
      </c>
      <c r="CK186" s="146" t="str">
        <f>_xlfn.IFNA(IF(OR(INDEX(Producer!$P:$P,MATCH($D186,Producer!$A:$A,0))="Intermediary Small HMO",INDEX(Producer!$P:$P,MATCH($D186,Producer!$A:$A,0))="Intermediary Large HMO"),"Only available","No"),"")</f>
        <v/>
      </c>
      <c r="CL186" s="146" t="str">
        <f t="shared" si="75"/>
        <v/>
      </c>
      <c r="CM186" s="146" t="str">
        <f t="shared" si="76"/>
        <v/>
      </c>
      <c r="CN186" s="146" t="str">
        <f t="shared" si="77"/>
        <v/>
      </c>
      <c r="CO186" s="146" t="str">
        <f t="shared" si="78"/>
        <v/>
      </c>
      <c r="CP186" s="146" t="str">
        <f t="shared" si="79"/>
        <v/>
      </c>
      <c r="CQ186" s="146" t="str">
        <f t="shared" si="80"/>
        <v/>
      </c>
      <c r="CR186" s="146" t="str">
        <f t="shared" si="81"/>
        <v/>
      </c>
      <c r="CS186" s="146" t="str">
        <f t="shared" si="82"/>
        <v/>
      </c>
      <c r="CT186" s="146" t="str">
        <f t="shared" si="83"/>
        <v/>
      </c>
      <c r="CU186" s="146"/>
    </row>
    <row r="187" spans="1:99" ht="16.399999999999999" customHeight="1" x14ac:dyDescent="0.35">
      <c r="A187" s="145" t="str">
        <f t="shared" si="56"/>
        <v/>
      </c>
      <c r="B187" s="145" t="str">
        <f>_xlfn.IFNA(_xlfn.CONCAT(INDEX(Producer!$P:$P,MATCH($D187,Producer!$A:$A,0))," ",IF(INDEX(Producer!$N:$N,MATCH($D187,Producer!$A:$A,0))="Yes","Green ",""),IF(AND(INDEX(Producer!$L:$L,MATCH($D187,Producer!$A:$A,0))="No",INDEX(Producer!$C:$C,MATCH($D187,Producer!$A:$A,0))="Fixed"),"Flexit ",""),INDEX(Producer!$B:$B,MATCH($D187,Producer!$A:$A,0))," Year ",INDEX(Producer!$C:$C,MATCH($D187,Producer!$A:$A,0))," ",VALUE(INDEX(Producer!$E:$E,MATCH($D187,Producer!$A:$A,0)))*100,"% LTV",IF(INDEX(Producer!$N:$N,MATCH($D187,Producer!$A:$A,0))="Yes"," (EPC A-C)","")," - ",IF(INDEX(Producer!$D:$D,MATCH($D187,Producer!$A:$A,0))="DLY","Daily","Annual")),"")</f>
        <v/>
      </c>
      <c r="C187" s="146" t="str">
        <f>_xlfn.IFNA(INDEX(Producer!$Q:$Q,MATCH($D187,Producer!$A:$A,0)),"")</f>
        <v/>
      </c>
      <c r="D187" s="146" t="str">
        <f>IFERROR(VALUE(MID(Producer!$R$2,IF($D186="",1/0,FIND(_xlfn.CONCAT($D185,$D186),Producer!$R$2)+10),5)),"")</f>
        <v/>
      </c>
      <c r="E187" s="146" t="str">
        <f t="shared" si="57"/>
        <v/>
      </c>
      <c r="F187" s="146"/>
      <c r="G187" s="147" t="str">
        <f>_xlfn.IFNA(VALUE(INDEX(Producer!$F:$F,MATCH($D187,Producer!$A:$A,0)))*100,"")</f>
        <v/>
      </c>
      <c r="H187" s="216" t="str">
        <f>_xlfn.IFNA(IFERROR(DATEVALUE(INDEX(Producer!$M:$M,MATCH($D187,Producer!$A:$A,0))),(INDEX(Producer!$M:$M,MATCH($D187,Producer!$A:$A,0)))),"")</f>
        <v/>
      </c>
      <c r="I187" s="217" t="str">
        <f>_xlfn.IFNA(VALUE(INDEX(Producer!$B:$B,MATCH($D187,Producer!$A:$A,0)))*12,"")</f>
        <v/>
      </c>
      <c r="J187" s="146" t="str">
        <f>_xlfn.IFNA(IF(C187="Residential",IF(VALUE(INDEX(Producer!$B:$B,MATCH($D187,Producer!$A:$A,0)))&lt;5,Constants!$C$10,""),IF(VALUE(INDEX(Producer!$B:$B,MATCH($D187,Producer!$A:$A,0)))&lt;5,Constants!$C$11,"")),"")</f>
        <v/>
      </c>
      <c r="K187" s="216" t="str">
        <f>_xlfn.IFNA(IF(($I187)&lt;60,DATE(YEAR(H187)+(5-VALUE(INDEX(Producer!$B:$B,MATCH($D187,Producer!$A:$A,0)))),MONTH(H187),DAY(H187)),""),"")</f>
        <v/>
      </c>
      <c r="L187" s="153" t="str">
        <f t="shared" si="58"/>
        <v/>
      </c>
      <c r="M187" s="146"/>
      <c r="N187" s="148"/>
      <c r="O187" s="148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  <c r="AC187" s="146"/>
      <c r="AD187" s="146"/>
      <c r="AE187" s="146"/>
      <c r="AF187" s="146"/>
      <c r="AG187" s="146"/>
      <c r="AH187" s="146"/>
      <c r="AI187" s="146"/>
      <c r="AJ187" s="146"/>
      <c r="AK187" s="146" t="str">
        <f>IF(D187="","",IF(C187="Residential",Constants!$B$10,Constants!$B$11))</f>
        <v/>
      </c>
      <c r="AL187" s="146" t="str">
        <f t="shared" si="59"/>
        <v/>
      </c>
      <c r="AM187" s="206" t="str">
        <f t="shared" si="60"/>
        <v/>
      </c>
      <c r="AN187" s="146" t="str">
        <f t="shared" si="61"/>
        <v/>
      </c>
      <c r="AO187" s="149" t="str">
        <f t="shared" si="62"/>
        <v/>
      </c>
      <c r="AP187" s="150" t="str">
        <f t="shared" si="63"/>
        <v/>
      </c>
      <c r="AQ187" s="146" t="str">
        <f>IFERROR(_xlfn.IFNA(IF($BA187="No",0,IF(INDEX(Constants!B:B,MATCH(($I187/12),Constants!$A:$A,0))=0,0,INDEX(Constants!B:B,MATCH(($I187/12),Constants!$A:$A,0)))),0),"")</f>
        <v/>
      </c>
      <c r="AR187" s="146" t="str">
        <f>IFERROR(_xlfn.IFNA(IF($BA187="No",0,IF(INDEX(Constants!C:C,MATCH(($I187/12),Constants!$A:$A,0))=0,0,INDEX(Constants!C:C,MATCH(($I187/12),Constants!$A:$A,0)))),0),"")</f>
        <v/>
      </c>
      <c r="AS187" s="146" t="str">
        <f>IFERROR(_xlfn.IFNA(IF($BA187="No",0,IF(INDEX(Constants!D:D,MATCH(($I187/12),Constants!$A:$A,0))=0,0,INDEX(Constants!D:D,MATCH(($I187/12),Constants!$A:$A,0)))),0),"")</f>
        <v/>
      </c>
      <c r="AT187" s="146" t="str">
        <f>IFERROR(_xlfn.IFNA(IF($BA187="No",0,IF(INDEX(Constants!E:E,MATCH(($I187/12),Constants!$A:$A,0))=0,0,INDEX(Constants!E:E,MATCH(($I187/12),Constants!$A:$A,0)))),0),"")</f>
        <v/>
      </c>
      <c r="AU187" s="146" t="str">
        <f>IFERROR(_xlfn.IFNA(IF($BA187="No",0,IF(INDEX(Constants!F:F,MATCH(($I187/12),Constants!$A:$A,0))=0,0,INDEX(Constants!F:F,MATCH(($I187/12),Constants!$A:$A,0)))),0),"")</f>
        <v/>
      </c>
      <c r="AV187" s="146" t="str">
        <f>IFERROR(_xlfn.IFNA(IF($BA187="No",0,IF(INDEX(Constants!G:G,MATCH(($I187/12),Constants!$A:$A,0))=0,0,INDEX(Constants!G:G,MATCH(($I187/12),Constants!$A:$A,0)))),0),"")</f>
        <v/>
      </c>
      <c r="AW187" s="146" t="str">
        <f>IFERROR(_xlfn.IFNA(IF($BA187="No",0,IF(INDEX(Constants!H:H,MATCH(($I187/12),Constants!$A:$A,0))=0,0,INDEX(Constants!H:H,MATCH(($I187/12),Constants!$A:$A,0)))),0),"")</f>
        <v/>
      </c>
      <c r="AX187" s="146" t="str">
        <f>IFERROR(_xlfn.IFNA(IF($BA187="No",0,IF(INDEX(Constants!I:I,MATCH(($I187/12),Constants!$A:$A,0))=0,0,INDEX(Constants!I:I,MATCH(($I187/12),Constants!$A:$A,0)))),0),"")</f>
        <v/>
      </c>
      <c r="AY187" s="146" t="str">
        <f>IFERROR(_xlfn.IFNA(IF($BA187="No",0,IF(INDEX(Constants!J:J,MATCH(($I187/12),Constants!$A:$A,0))=0,0,INDEX(Constants!J:J,MATCH(($I187/12),Constants!$A:$A,0)))),0),"")</f>
        <v/>
      </c>
      <c r="AZ187" s="146" t="str">
        <f>IFERROR(_xlfn.IFNA(IF($BA187="No",0,IF(INDEX(Constants!K:K,MATCH(($I187/12),Constants!$A:$A,0))=0,0,INDEX(Constants!K:K,MATCH(($I187/12),Constants!$A:$A,0)))),0),"")</f>
        <v/>
      </c>
      <c r="BA187" s="147" t="str">
        <f>_xlfn.IFNA(INDEX(Producer!$L:$L,MATCH($D187,Producer!$A:$A,0)),"")</f>
        <v/>
      </c>
      <c r="BB187" s="146" t="str">
        <f>IFERROR(IF(AQ187=0,"",IF(($I187/12)=15,_xlfn.CONCAT(Constants!$N$7,TEXT(DATE(YEAR(H187)-(($I187/12)-3),MONTH(H187),DAY(H187)),"dd/mm/yyyy"),", ",Constants!$P$7,TEXT(DATE(YEAR(H187)-(($I187/12)-8),MONTH(H187),DAY(H187)),"dd/mm/yyyy"),", ",Constants!$T$7,TEXT(DATE(YEAR(H187)-(($I187/12)-11),MONTH(H187),DAY(H187)),"dd/mm/yyyy"),", ",Constants!$V$7,TEXT(DATE(YEAR(H187)-(($I187/12)-13),MONTH(H187),DAY(H187)),"dd/mm/yyyy"),", ",Constants!$W$7,TEXT($H187,"dd/mm/yyyy")),IF(($I187/12)=10,_xlfn.CONCAT(Constants!$N$6,TEXT(DATE(YEAR(H187)-(($I187/12)-2),MONTH(H187),DAY(H187)),"dd/mm/yyyy"),", ",Constants!$P$6,TEXT(DATE(YEAR(H187)-(($I187/12)-6),MONTH(H187),DAY(H187)),"dd/mm/yyyy"),", ",Constants!$T$6,TEXT(DATE(YEAR(H187)-(($I187/12)-8),MONTH(H187),DAY(H187)),"dd/mm/yyyy"),", ",Constants!$V$6,TEXT(DATE(YEAR(H187)-(($I187/12)-9),MONTH(H187),DAY(H187)),"dd/mm/yyyy"),", ",Constants!$W$6,TEXT($H187,"dd/mm/yyyy")),IF(($I187/12)=5,_xlfn.CONCAT(Constants!$N$5,TEXT(DATE(YEAR(H187)-(($I187/12)-1),MONTH(H187),DAY(H187)),"dd/mm/yyyy"),", ",Constants!$O$5,TEXT(DATE(YEAR(H187)-(($I187/12)-2),MONTH(H187),DAY(H187)),"dd/mm/yyyy"),", ",Constants!$P$5,TEXT(DATE(YEAR(H187)-(($I187/12)-3),MONTH(H187),DAY(H187)),"dd/mm/yyyy"),", ",Constants!$Q$5,TEXT(DATE(YEAR(H187)-(($I187/12)-4),MONTH(H187),DAY(H187)),"dd/mm/yyyy"),", ",Constants!$R$5,TEXT($H187,"dd/mm/yyyy")),IF(($I187/12)=3,_xlfn.CONCAT(Constants!$N$4,TEXT(DATE(YEAR(H187)-(($I187/12)-1),MONTH(H187),DAY(H187)),"dd/mm/yyyy"),", ",Constants!$O$4,TEXT(DATE(YEAR(H187)-(($I187/12)-2),MONTH(H187),DAY(H187)),"dd/mm/yyyy"),", ",Constants!$P$4,TEXT($H187,"dd/mm/yyyy")),IF(($I187/12)=2,_xlfn.CONCAT(Constants!$N$3,TEXT(DATE(YEAR(H187)-(($I187/12)-1),MONTH(H187),DAY(H187)),"dd/mm/yyyy"),", ",Constants!$O$3,TEXT($H187,"dd/mm/yyyy")),IF(($I187/12)=1,_xlfn.CONCAT(Constants!$N$2,TEXT($H187,"dd/mm/yyyy")),"Update Constants"))))))),"")</f>
        <v/>
      </c>
      <c r="BC187" s="147" t="str">
        <f>_xlfn.IFNA(VALUE(INDEX(Producer!$K:$K,MATCH($D187,Producer!$A:$A,0))),"")</f>
        <v/>
      </c>
      <c r="BD187" s="147" t="str">
        <f>_xlfn.IFNA(INDEX(Producer!$I:$I,MATCH($D187,Producer!$A:$A,0)),"")</f>
        <v/>
      </c>
      <c r="BE187" s="147" t="str">
        <f t="shared" si="64"/>
        <v/>
      </c>
      <c r="BF187" s="147"/>
      <c r="BG187" s="147"/>
      <c r="BH187" s="151" t="str">
        <f>_xlfn.IFNA(INDEX(Constants!$B:$B,MATCH(BC187,Constants!A:A,0)),"")</f>
        <v/>
      </c>
      <c r="BI187" s="147" t="str">
        <f>IF(LEFT(B187,15)="Limited Company",Constants!$D$16,IFERROR(_xlfn.IFNA(IF(C187="Residential",IF(BK187&lt;75,INDEX(Constants!$B:$B,MATCH(VALUE(60)/100,Constants!$A:$A,0)),INDEX(Constants!$B:$B,MATCH(VALUE(BK187)/100,Constants!$A:$A,0))),IF(BK187&lt;60,INDEX(Constants!$C:$C,MATCH(VALUE(60)/100,Constants!$A:$A,0)),INDEX(Constants!$C:$C,MATCH(VALUE(BK187)/100,Constants!$A:$A,0)))),""),""))</f>
        <v/>
      </c>
      <c r="BJ187" s="147" t="str">
        <f t="shared" si="65"/>
        <v/>
      </c>
      <c r="BK187" s="147" t="str">
        <f>_xlfn.IFNA(VALUE(INDEX(Producer!$E:$E,MATCH($D187,Producer!$A:$A,0)))*100,"")</f>
        <v/>
      </c>
      <c r="BL187" s="146" t="str">
        <f>_xlfn.IFNA(IF(IFERROR(FIND("Part &amp; Part",B187),-10)&gt;0,"PP",IF(OR(LEFT(B187,25)="Residential Interest Only",INDEX(Producer!$P:$P,MATCH($D187,Producer!$A:$A,0))="IO",INDEX(Producer!$P:$P,MATCH($D187,Producer!$A:$A,0))="Retirement Interest Only"),"IO",IF($C187="BuyToLet","CI, IO","CI"))),"")</f>
        <v/>
      </c>
      <c r="BM187" s="152" t="str">
        <f>_xlfn.IFNA(IF(BL187="IO",100%,IF(AND(INDEX(Producer!$P:$P,MATCH($D187,Producer!$A:$A,0))="Residential Interest Only Part &amp; Part",BK187=75),80%,IF(C187="BuyToLet",100%,IF(BL187="Interest Only",100%,IF(AND(INDEX(Producer!$P:$P,MATCH($D187,Producer!$A:$A,0))="Residential Interest Only Part &amp; Part",BK187=60),100%,""))))),"")</f>
        <v/>
      </c>
      <c r="BN187" s="218" t="str">
        <f>_xlfn.IFNA(IF(VALUE(INDEX(Producer!$H:$H,MATCH($D187,Producer!$A:$A,0)))=0,"",VALUE(INDEX(Producer!$H:$H,MATCH($D187,Producer!$A:$A,0)))),"")</f>
        <v/>
      </c>
      <c r="BO187" s="153"/>
      <c r="BP187" s="153"/>
      <c r="BQ187" s="219" t="str">
        <f t="shared" si="66"/>
        <v/>
      </c>
      <c r="BR187" s="146"/>
      <c r="BS187" s="146"/>
      <c r="BT187" s="146"/>
      <c r="BU187" s="146"/>
      <c r="BV187" s="219" t="str">
        <f t="shared" si="67"/>
        <v/>
      </c>
      <c r="BW187" s="146"/>
      <c r="BX187" s="146"/>
      <c r="BY187" s="146" t="str">
        <f t="shared" si="68"/>
        <v/>
      </c>
      <c r="BZ187" s="146" t="str">
        <f t="shared" si="69"/>
        <v/>
      </c>
      <c r="CA187" s="146" t="str">
        <f t="shared" si="70"/>
        <v/>
      </c>
      <c r="CB187" s="146" t="str">
        <f t="shared" si="71"/>
        <v/>
      </c>
      <c r="CC187" s="146" t="str">
        <f>_xlfn.IFNA(IF(INDEX(Producer!$P:$P,MATCH($D187,Producer!$A:$A,0))="Help to Buy","Only available","No"),"")</f>
        <v/>
      </c>
      <c r="CD187" s="146" t="str">
        <f>_xlfn.IFNA(IF(INDEX(Producer!$P:$P,MATCH($D187,Producer!$A:$A,0))="Shared Ownership","Only available","No"),"")</f>
        <v/>
      </c>
      <c r="CE187" s="146" t="str">
        <f>_xlfn.IFNA(IF(INDEX(Producer!$P:$P,MATCH($D187,Producer!$A:$A,0))="Right to Buy","Only available","No"),"")</f>
        <v/>
      </c>
      <c r="CF187" s="146" t="str">
        <f t="shared" si="72"/>
        <v/>
      </c>
      <c r="CG187" s="146" t="str">
        <f>_xlfn.IFNA(IF(INDEX(Producer!$P:$P,MATCH($D187,Producer!$A:$A,0))="Retirement Interest Only","Only available","No"),"")</f>
        <v/>
      </c>
      <c r="CH187" s="146" t="str">
        <f t="shared" si="73"/>
        <v/>
      </c>
      <c r="CI187" s="146" t="str">
        <f>_xlfn.IFNA(IF(INDEX(Producer!$P:$P,MATCH($D187,Producer!$A:$A,0))="Intermediary Holiday Let","Only available","No"),"")</f>
        <v/>
      </c>
      <c r="CJ187" s="146" t="str">
        <f t="shared" si="74"/>
        <v/>
      </c>
      <c r="CK187" s="146" t="str">
        <f>_xlfn.IFNA(IF(OR(INDEX(Producer!$P:$P,MATCH($D187,Producer!$A:$A,0))="Intermediary Small HMO",INDEX(Producer!$P:$P,MATCH($D187,Producer!$A:$A,0))="Intermediary Large HMO"),"Only available","No"),"")</f>
        <v/>
      </c>
      <c r="CL187" s="146" t="str">
        <f t="shared" si="75"/>
        <v/>
      </c>
      <c r="CM187" s="146" t="str">
        <f t="shared" si="76"/>
        <v/>
      </c>
      <c r="CN187" s="146" t="str">
        <f t="shared" si="77"/>
        <v/>
      </c>
      <c r="CO187" s="146" t="str">
        <f t="shared" si="78"/>
        <v/>
      </c>
      <c r="CP187" s="146" t="str">
        <f t="shared" si="79"/>
        <v/>
      </c>
      <c r="CQ187" s="146" t="str">
        <f t="shared" si="80"/>
        <v/>
      </c>
      <c r="CR187" s="146" t="str">
        <f t="shared" si="81"/>
        <v/>
      </c>
      <c r="CS187" s="146" t="str">
        <f t="shared" si="82"/>
        <v/>
      </c>
      <c r="CT187" s="146" t="str">
        <f t="shared" si="83"/>
        <v/>
      </c>
      <c r="CU187" s="146"/>
    </row>
    <row r="188" spans="1:99" ht="16.399999999999999" customHeight="1" x14ac:dyDescent="0.35">
      <c r="A188" s="145" t="str">
        <f t="shared" si="56"/>
        <v/>
      </c>
      <c r="B188" s="145" t="str">
        <f>_xlfn.IFNA(_xlfn.CONCAT(INDEX(Producer!$P:$P,MATCH($D188,Producer!$A:$A,0))," ",IF(INDEX(Producer!$N:$N,MATCH($D188,Producer!$A:$A,0))="Yes","Green ",""),IF(AND(INDEX(Producer!$L:$L,MATCH($D188,Producer!$A:$A,0))="No",INDEX(Producer!$C:$C,MATCH($D188,Producer!$A:$A,0))="Fixed"),"Flexit ",""),INDEX(Producer!$B:$B,MATCH($D188,Producer!$A:$A,0))," Year ",INDEX(Producer!$C:$C,MATCH($D188,Producer!$A:$A,0))," ",VALUE(INDEX(Producer!$E:$E,MATCH($D188,Producer!$A:$A,0)))*100,"% LTV",IF(INDEX(Producer!$N:$N,MATCH($D188,Producer!$A:$A,0))="Yes"," (EPC A-C)","")," - ",IF(INDEX(Producer!$D:$D,MATCH($D188,Producer!$A:$A,0))="DLY","Daily","Annual")),"")</f>
        <v/>
      </c>
      <c r="C188" s="146" t="str">
        <f>_xlfn.IFNA(INDEX(Producer!$Q:$Q,MATCH($D188,Producer!$A:$A,0)),"")</f>
        <v/>
      </c>
      <c r="D188" s="146" t="str">
        <f>IFERROR(VALUE(MID(Producer!$R$2,IF($D187="",1/0,FIND(_xlfn.CONCAT($D186,$D187),Producer!$R$2)+10),5)),"")</f>
        <v/>
      </c>
      <c r="E188" s="146" t="str">
        <f t="shared" si="57"/>
        <v/>
      </c>
      <c r="F188" s="146"/>
      <c r="G188" s="147" t="str">
        <f>_xlfn.IFNA(VALUE(INDEX(Producer!$F:$F,MATCH($D188,Producer!$A:$A,0)))*100,"")</f>
        <v/>
      </c>
      <c r="H188" s="216" t="str">
        <f>_xlfn.IFNA(IFERROR(DATEVALUE(INDEX(Producer!$M:$M,MATCH($D188,Producer!$A:$A,0))),(INDEX(Producer!$M:$M,MATCH($D188,Producer!$A:$A,0)))),"")</f>
        <v/>
      </c>
      <c r="I188" s="217" t="str">
        <f>_xlfn.IFNA(VALUE(INDEX(Producer!$B:$B,MATCH($D188,Producer!$A:$A,0)))*12,"")</f>
        <v/>
      </c>
      <c r="J188" s="146" t="str">
        <f>_xlfn.IFNA(IF(C188="Residential",IF(VALUE(INDEX(Producer!$B:$B,MATCH($D188,Producer!$A:$A,0)))&lt;5,Constants!$C$10,""),IF(VALUE(INDEX(Producer!$B:$B,MATCH($D188,Producer!$A:$A,0)))&lt;5,Constants!$C$11,"")),"")</f>
        <v/>
      </c>
      <c r="K188" s="216" t="str">
        <f>_xlfn.IFNA(IF(($I188)&lt;60,DATE(YEAR(H188)+(5-VALUE(INDEX(Producer!$B:$B,MATCH($D188,Producer!$A:$A,0)))),MONTH(H188),DAY(H188)),""),"")</f>
        <v/>
      </c>
      <c r="L188" s="153" t="str">
        <f t="shared" si="58"/>
        <v/>
      </c>
      <c r="M188" s="146"/>
      <c r="N188" s="148"/>
      <c r="O188" s="148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  <c r="AC188" s="146"/>
      <c r="AD188" s="146"/>
      <c r="AE188" s="146"/>
      <c r="AF188" s="146"/>
      <c r="AG188" s="146"/>
      <c r="AH188" s="146"/>
      <c r="AI188" s="146"/>
      <c r="AJ188" s="146"/>
      <c r="AK188" s="146" t="str">
        <f>IF(D188="","",IF(C188="Residential",Constants!$B$10,Constants!$B$11))</f>
        <v/>
      </c>
      <c r="AL188" s="146" t="str">
        <f t="shared" si="59"/>
        <v/>
      </c>
      <c r="AM188" s="206" t="str">
        <f t="shared" si="60"/>
        <v/>
      </c>
      <c r="AN188" s="146" t="str">
        <f t="shared" si="61"/>
        <v/>
      </c>
      <c r="AO188" s="149" t="str">
        <f t="shared" si="62"/>
        <v/>
      </c>
      <c r="AP188" s="150" t="str">
        <f t="shared" si="63"/>
        <v/>
      </c>
      <c r="AQ188" s="146" t="str">
        <f>IFERROR(_xlfn.IFNA(IF($BA188="No",0,IF(INDEX(Constants!B:B,MATCH(($I188/12),Constants!$A:$A,0))=0,0,INDEX(Constants!B:B,MATCH(($I188/12),Constants!$A:$A,0)))),0),"")</f>
        <v/>
      </c>
      <c r="AR188" s="146" t="str">
        <f>IFERROR(_xlfn.IFNA(IF($BA188="No",0,IF(INDEX(Constants!C:C,MATCH(($I188/12),Constants!$A:$A,0))=0,0,INDEX(Constants!C:C,MATCH(($I188/12),Constants!$A:$A,0)))),0),"")</f>
        <v/>
      </c>
      <c r="AS188" s="146" t="str">
        <f>IFERROR(_xlfn.IFNA(IF($BA188="No",0,IF(INDEX(Constants!D:D,MATCH(($I188/12),Constants!$A:$A,0))=0,0,INDEX(Constants!D:D,MATCH(($I188/12),Constants!$A:$A,0)))),0),"")</f>
        <v/>
      </c>
      <c r="AT188" s="146" t="str">
        <f>IFERROR(_xlfn.IFNA(IF($BA188="No",0,IF(INDEX(Constants!E:E,MATCH(($I188/12),Constants!$A:$A,0))=0,0,INDEX(Constants!E:E,MATCH(($I188/12),Constants!$A:$A,0)))),0),"")</f>
        <v/>
      </c>
      <c r="AU188" s="146" t="str">
        <f>IFERROR(_xlfn.IFNA(IF($BA188="No",0,IF(INDEX(Constants!F:F,MATCH(($I188/12),Constants!$A:$A,0))=0,0,INDEX(Constants!F:F,MATCH(($I188/12),Constants!$A:$A,0)))),0),"")</f>
        <v/>
      </c>
      <c r="AV188" s="146" t="str">
        <f>IFERROR(_xlfn.IFNA(IF($BA188="No",0,IF(INDEX(Constants!G:G,MATCH(($I188/12),Constants!$A:$A,0))=0,0,INDEX(Constants!G:G,MATCH(($I188/12),Constants!$A:$A,0)))),0),"")</f>
        <v/>
      </c>
      <c r="AW188" s="146" t="str">
        <f>IFERROR(_xlfn.IFNA(IF($BA188="No",0,IF(INDEX(Constants!H:H,MATCH(($I188/12),Constants!$A:$A,0))=0,0,INDEX(Constants!H:H,MATCH(($I188/12),Constants!$A:$A,0)))),0),"")</f>
        <v/>
      </c>
      <c r="AX188" s="146" t="str">
        <f>IFERROR(_xlfn.IFNA(IF($BA188="No",0,IF(INDEX(Constants!I:I,MATCH(($I188/12),Constants!$A:$A,0))=0,0,INDEX(Constants!I:I,MATCH(($I188/12),Constants!$A:$A,0)))),0),"")</f>
        <v/>
      </c>
      <c r="AY188" s="146" t="str">
        <f>IFERROR(_xlfn.IFNA(IF($BA188="No",0,IF(INDEX(Constants!J:J,MATCH(($I188/12),Constants!$A:$A,0))=0,0,INDEX(Constants!J:J,MATCH(($I188/12),Constants!$A:$A,0)))),0),"")</f>
        <v/>
      </c>
      <c r="AZ188" s="146" t="str">
        <f>IFERROR(_xlfn.IFNA(IF($BA188="No",0,IF(INDEX(Constants!K:K,MATCH(($I188/12),Constants!$A:$A,0))=0,0,INDEX(Constants!K:K,MATCH(($I188/12),Constants!$A:$A,0)))),0),"")</f>
        <v/>
      </c>
      <c r="BA188" s="147" t="str">
        <f>_xlfn.IFNA(INDEX(Producer!$L:$L,MATCH($D188,Producer!$A:$A,0)),"")</f>
        <v/>
      </c>
      <c r="BB188" s="146" t="str">
        <f>IFERROR(IF(AQ188=0,"",IF(($I188/12)=15,_xlfn.CONCAT(Constants!$N$7,TEXT(DATE(YEAR(H188)-(($I188/12)-3),MONTH(H188),DAY(H188)),"dd/mm/yyyy"),", ",Constants!$P$7,TEXT(DATE(YEAR(H188)-(($I188/12)-8),MONTH(H188),DAY(H188)),"dd/mm/yyyy"),", ",Constants!$T$7,TEXT(DATE(YEAR(H188)-(($I188/12)-11),MONTH(H188),DAY(H188)),"dd/mm/yyyy"),", ",Constants!$V$7,TEXT(DATE(YEAR(H188)-(($I188/12)-13),MONTH(H188),DAY(H188)),"dd/mm/yyyy"),", ",Constants!$W$7,TEXT($H188,"dd/mm/yyyy")),IF(($I188/12)=10,_xlfn.CONCAT(Constants!$N$6,TEXT(DATE(YEAR(H188)-(($I188/12)-2),MONTH(H188),DAY(H188)),"dd/mm/yyyy"),", ",Constants!$P$6,TEXT(DATE(YEAR(H188)-(($I188/12)-6),MONTH(H188),DAY(H188)),"dd/mm/yyyy"),", ",Constants!$T$6,TEXT(DATE(YEAR(H188)-(($I188/12)-8),MONTH(H188),DAY(H188)),"dd/mm/yyyy"),", ",Constants!$V$6,TEXT(DATE(YEAR(H188)-(($I188/12)-9),MONTH(H188),DAY(H188)),"dd/mm/yyyy"),", ",Constants!$W$6,TEXT($H188,"dd/mm/yyyy")),IF(($I188/12)=5,_xlfn.CONCAT(Constants!$N$5,TEXT(DATE(YEAR(H188)-(($I188/12)-1),MONTH(H188),DAY(H188)),"dd/mm/yyyy"),", ",Constants!$O$5,TEXT(DATE(YEAR(H188)-(($I188/12)-2),MONTH(H188),DAY(H188)),"dd/mm/yyyy"),", ",Constants!$P$5,TEXT(DATE(YEAR(H188)-(($I188/12)-3),MONTH(H188),DAY(H188)),"dd/mm/yyyy"),", ",Constants!$Q$5,TEXT(DATE(YEAR(H188)-(($I188/12)-4),MONTH(H188),DAY(H188)),"dd/mm/yyyy"),", ",Constants!$R$5,TEXT($H188,"dd/mm/yyyy")),IF(($I188/12)=3,_xlfn.CONCAT(Constants!$N$4,TEXT(DATE(YEAR(H188)-(($I188/12)-1),MONTH(H188),DAY(H188)),"dd/mm/yyyy"),", ",Constants!$O$4,TEXT(DATE(YEAR(H188)-(($I188/12)-2),MONTH(H188),DAY(H188)),"dd/mm/yyyy"),", ",Constants!$P$4,TEXT($H188,"dd/mm/yyyy")),IF(($I188/12)=2,_xlfn.CONCAT(Constants!$N$3,TEXT(DATE(YEAR(H188)-(($I188/12)-1),MONTH(H188),DAY(H188)),"dd/mm/yyyy"),", ",Constants!$O$3,TEXT($H188,"dd/mm/yyyy")),IF(($I188/12)=1,_xlfn.CONCAT(Constants!$N$2,TEXT($H188,"dd/mm/yyyy")),"Update Constants"))))))),"")</f>
        <v/>
      </c>
      <c r="BC188" s="147" t="str">
        <f>_xlfn.IFNA(VALUE(INDEX(Producer!$K:$K,MATCH($D188,Producer!$A:$A,0))),"")</f>
        <v/>
      </c>
      <c r="BD188" s="147" t="str">
        <f>_xlfn.IFNA(INDEX(Producer!$I:$I,MATCH($D188,Producer!$A:$A,0)),"")</f>
        <v/>
      </c>
      <c r="BE188" s="147" t="str">
        <f t="shared" si="64"/>
        <v/>
      </c>
      <c r="BF188" s="147"/>
      <c r="BG188" s="147"/>
      <c r="BH188" s="151" t="str">
        <f>_xlfn.IFNA(INDEX(Constants!$B:$B,MATCH(BC188,Constants!A:A,0)),"")</f>
        <v/>
      </c>
      <c r="BI188" s="147" t="str">
        <f>IF(LEFT(B188,15)="Limited Company",Constants!$D$16,IFERROR(_xlfn.IFNA(IF(C188="Residential",IF(BK188&lt;75,INDEX(Constants!$B:$B,MATCH(VALUE(60)/100,Constants!$A:$A,0)),INDEX(Constants!$B:$B,MATCH(VALUE(BK188)/100,Constants!$A:$A,0))),IF(BK188&lt;60,INDEX(Constants!$C:$C,MATCH(VALUE(60)/100,Constants!$A:$A,0)),INDEX(Constants!$C:$C,MATCH(VALUE(BK188)/100,Constants!$A:$A,0)))),""),""))</f>
        <v/>
      </c>
      <c r="BJ188" s="147" t="str">
        <f t="shared" si="65"/>
        <v/>
      </c>
      <c r="BK188" s="147" t="str">
        <f>_xlfn.IFNA(VALUE(INDEX(Producer!$E:$E,MATCH($D188,Producer!$A:$A,0)))*100,"")</f>
        <v/>
      </c>
      <c r="BL188" s="146" t="str">
        <f>_xlfn.IFNA(IF(IFERROR(FIND("Part &amp; Part",B188),-10)&gt;0,"PP",IF(OR(LEFT(B188,25)="Residential Interest Only",INDEX(Producer!$P:$P,MATCH($D188,Producer!$A:$A,0))="IO",INDEX(Producer!$P:$P,MATCH($D188,Producer!$A:$A,0))="Retirement Interest Only"),"IO",IF($C188="BuyToLet","CI, IO","CI"))),"")</f>
        <v/>
      </c>
      <c r="BM188" s="152" t="str">
        <f>_xlfn.IFNA(IF(BL188="IO",100%,IF(AND(INDEX(Producer!$P:$P,MATCH($D188,Producer!$A:$A,0))="Residential Interest Only Part &amp; Part",BK188=75),80%,IF(C188="BuyToLet",100%,IF(BL188="Interest Only",100%,IF(AND(INDEX(Producer!$P:$P,MATCH($D188,Producer!$A:$A,0))="Residential Interest Only Part &amp; Part",BK188=60),100%,""))))),"")</f>
        <v/>
      </c>
      <c r="BN188" s="218" t="str">
        <f>_xlfn.IFNA(IF(VALUE(INDEX(Producer!$H:$H,MATCH($D188,Producer!$A:$A,0)))=0,"",VALUE(INDEX(Producer!$H:$H,MATCH($D188,Producer!$A:$A,0)))),"")</f>
        <v/>
      </c>
      <c r="BO188" s="153"/>
      <c r="BP188" s="153"/>
      <c r="BQ188" s="219" t="str">
        <f t="shared" si="66"/>
        <v/>
      </c>
      <c r="BR188" s="146"/>
      <c r="BS188" s="146"/>
      <c r="BT188" s="146"/>
      <c r="BU188" s="146"/>
      <c r="BV188" s="219" t="str">
        <f t="shared" si="67"/>
        <v/>
      </c>
      <c r="BW188" s="146"/>
      <c r="BX188" s="146"/>
      <c r="BY188" s="146" t="str">
        <f t="shared" si="68"/>
        <v/>
      </c>
      <c r="BZ188" s="146" t="str">
        <f t="shared" si="69"/>
        <v/>
      </c>
      <c r="CA188" s="146" t="str">
        <f t="shared" si="70"/>
        <v/>
      </c>
      <c r="CB188" s="146" t="str">
        <f t="shared" si="71"/>
        <v/>
      </c>
      <c r="CC188" s="146" t="str">
        <f>_xlfn.IFNA(IF(INDEX(Producer!$P:$P,MATCH($D188,Producer!$A:$A,0))="Help to Buy","Only available","No"),"")</f>
        <v/>
      </c>
      <c r="CD188" s="146" t="str">
        <f>_xlfn.IFNA(IF(INDEX(Producer!$P:$P,MATCH($D188,Producer!$A:$A,0))="Shared Ownership","Only available","No"),"")</f>
        <v/>
      </c>
      <c r="CE188" s="146" t="str">
        <f>_xlfn.IFNA(IF(INDEX(Producer!$P:$P,MATCH($D188,Producer!$A:$A,0))="Right to Buy","Only available","No"),"")</f>
        <v/>
      </c>
      <c r="CF188" s="146" t="str">
        <f t="shared" si="72"/>
        <v/>
      </c>
      <c r="CG188" s="146" t="str">
        <f>_xlfn.IFNA(IF(INDEX(Producer!$P:$P,MATCH($D188,Producer!$A:$A,0))="Retirement Interest Only","Only available","No"),"")</f>
        <v/>
      </c>
      <c r="CH188" s="146" t="str">
        <f t="shared" si="73"/>
        <v/>
      </c>
      <c r="CI188" s="146" t="str">
        <f>_xlfn.IFNA(IF(INDEX(Producer!$P:$P,MATCH($D188,Producer!$A:$A,0))="Intermediary Holiday Let","Only available","No"),"")</f>
        <v/>
      </c>
      <c r="CJ188" s="146" t="str">
        <f t="shared" si="74"/>
        <v/>
      </c>
      <c r="CK188" s="146" t="str">
        <f>_xlfn.IFNA(IF(OR(INDEX(Producer!$P:$P,MATCH($D188,Producer!$A:$A,0))="Intermediary Small HMO",INDEX(Producer!$P:$P,MATCH($D188,Producer!$A:$A,0))="Intermediary Large HMO"),"Only available","No"),"")</f>
        <v/>
      </c>
      <c r="CL188" s="146" t="str">
        <f t="shared" si="75"/>
        <v/>
      </c>
      <c r="CM188" s="146" t="str">
        <f t="shared" si="76"/>
        <v/>
      </c>
      <c r="CN188" s="146" t="str">
        <f t="shared" si="77"/>
        <v/>
      </c>
      <c r="CO188" s="146" t="str">
        <f t="shared" si="78"/>
        <v/>
      </c>
      <c r="CP188" s="146" t="str">
        <f t="shared" si="79"/>
        <v/>
      </c>
      <c r="CQ188" s="146" t="str">
        <f t="shared" si="80"/>
        <v/>
      </c>
      <c r="CR188" s="146" t="str">
        <f t="shared" si="81"/>
        <v/>
      </c>
      <c r="CS188" s="146" t="str">
        <f t="shared" si="82"/>
        <v/>
      </c>
      <c r="CT188" s="146" t="str">
        <f t="shared" si="83"/>
        <v/>
      </c>
      <c r="CU188" s="146"/>
    </row>
    <row r="189" spans="1:99" ht="16.399999999999999" customHeight="1" x14ac:dyDescent="0.35">
      <c r="A189" s="145" t="str">
        <f t="shared" si="56"/>
        <v/>
      </c>
      <c r="B189" s="145" t="str">
        <f>_xlfn.IFNA(_xlfn.CONCAT(INDEX(Producer!$P:$P,MATCH($D189,Producer!$A:$A,0))," ",IF(INDEX(Producer!$N:$N,MATCH($D189,Producer!$A:$A,0))="Yes","Green ",""),IF(AND(INDEX(Producer!$L:$L,MATCH($D189,Producer!$A:$A,0))="No",INDEX(Producer!$C:$C,MATCH($D189,Producer!$A:$A,0))="Fixed"),"Flexit ",""),INDEX(Producer!$B:$B,MATCH($D189,Producer!$A:$A,0))," Year ",INDEX(Producer!$C:$C,MATCH($D189,Producer!$A:$A,0))," ",VALUE(INDEX(Producer!$E:$E,MATCH($D189,Producer!$A:$A,0)))*100,"% LTV",IF(INDEX(Producer!$N:$N,MATCH($D189,Producer!$A:$A,0))="Yes"," (EPC A-C)","")," - ",IF(INDEX(Producer!$D:$D,MATCH($D189,Producer!$A:$A,0))="DLY","Daily","Annual")),"")</f>
        <v/>
      </c>
      <c r="C189" s="146" t="str">
        <f>_xlfn.IFNA(INDEX(Producer!$Q:$Q,MATCH($D189,Producer!$A:$A,0)),"")</f>
        <v/>
      </c>
      <c r="D189" s="146" t="str">
        <f>IFERROR(VALUE(MID(Producer!$R$2,IF($D188="",1/0,FIND(_xlfn.CONCAT($D187,$D188),Producer!$R$2)+10),5)),"")</f>
        <v/>
      </c>
      <c r="E189" s="146" t="str">
        <f t="shared" si="57"/>
        <v/>
      </c>
      <c r="F189" s="146"/>
      <c r="G189" s="147" t="str">
        <f>_xlfn.IFNA(VALUE(INDEX(Producer!$F:$F,MATCH($D189,Producer!$A:$A,0)))*100,"")</f>
        <v/>
      </c>
      <c r="H189" s="216" t="str">
        <f>_xlfn.IFNA(IFERROR(DATEVALUE(INDEX(Producer!$M:$M,MATCH($D189,Producer!$A:$A,0))),(INDEX(Producer!$M:$M,MATCH($D189,Producer!$A:$A,0)))),"")</f>
        <v/>
      </c>
      <c r="I189" s="217" t="str">
        <f>_xlfn.IFNA(VALUE(INDEX(Producer!$B:$B,MATCH($D189,Producer!$A:$A,0)))*12,"")</f>
        <v/>
      </c>
      <c r="J189" s="146" t="str">
        <f>_xlfn.IFNA(IF(C189="Residential",IF(VALUE(INDEX(Producer!$B:$B,MATCH($D189,Producer!$A:$A,0)))&lt;5,Constants!$C$10,""),IF(VALUE(INDEX(Producer!$B:$B,MATCH($D189,Producer!$A:$A,0)))&lt;5,Constants!$C$11,"")),"")</f>
        <v/>
      </c>
      <c r="K189" s="216" t="str">
        <f>_xlfn.IFNA(IF(($I189)&lt;60,DATE(YEAR(H189)+(5-VALUE(INDEX(Producer!$B:$B,MATCH($D189,Producer!$A:$A,0)))),MONTH(H189),DAY(H189)),""),"")</f>
        <v/>
      </c>
      <c r="L189" s="153" t="str">
        <f t="shared" si="58"/>
        <v/>
      </c>
      <c r="M189" s="146"/>
      <c r="N189" s="148"/>
      <c r="O189" s="148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6"/>
      <c r="AK189" s="146" t="str">
        <f>IF(D189="","",IF(C189="Residential",Constants!$B$10,Constants!$B$11))</f>
        <v/>
      </c>
      <c r="AL189" s="146" t="str">
        <f t="shared" si="59"/>
        <v/>
      </c>
      <c r="AM189" s="206" t="str">
        <f t="shared" si="60"/>
        <v/>
      </c>
      <c r="AN189" s="146" t="str">
        <f t="shared" si="61"/>
        <v/>
      </c>
      <c r="AO189" s="149" t="str">
        <f t="shared" si="62"/>
        <v/>
      </c>
      <c r="AP189" s="150" t="str">
        <f t="shared" si="63"/>
        <v/>
      </c>
      <c r="AQ189" s="146" t="str">
        <f>IFERROR(_xlfn.IFNA(IF($BA189="No",0,IF(INDEX(Constants!B:B,MATCH(($I189/12),Constants!$A:$A,0))=0,0,INDEX(Constants!B:B,MATCH(($I189/12),Constants!$A:$A,0)))),0),"")</f>
        <v/>
      </c>
      <c r="AR189" s="146" t="str">
        <f>IFERROR(_xlfn.IFNA(IF($BA189="No",0,IF(INDEX(Constants!C:C,MATCH(($I189/12),Constants!$A:$A,0))=0,0,INDEX(Constants!C:C,MATCH(($I189/12),Constants!$A:$A,0)))),0),"")</f>
        <v/>
      </c>
      <c r="AS189" s="146" t="str">
        <f>IFERROR(_xlfn.IFNA(IF($BA189="No",0,IF(INDEX(Constants!D:D,MATCH(($I189/12),Constants!$A:$A,0))=0,0,INDEX(Constants!D:D,MATCH(($I189/12),Constants!$A:$A,0)))),0),"")</f>
        <v/>
      </c>
      <c r="AT189" s="146" t="str">
        <f>IFERROR(_xlfn.IFNA(IF($BA189="No",0,IF(INDEX(Constants!E:E,MATCH(($I189/12),Constants!$A:$A,0))=0,0,INDEX(Constants!E:E,MATCH(($I189/12),Constants!$A:$A,0)))),0),"")</f>
        <v/>
      </c>
      <c r="AU189" s="146" t="str">
        <f>IFERROR(_xlfn.IFNA(IF($BA189="No",0,IF(INDEX(Constants!F:F,MATCH(($I189/12),Constants!$A:$A,0))=0,0,INDEX(Constants!F:F,MATCH(($I189/12),Constants!$A:$A,0)))),0),"")</f>
        <v/>
      </c>
      <c r="AV189" s="146" t="str">
        <f>IFERROR(_xlfn.IFNA(IF($BA189="No",0,IF(INDEX(Constants!G:G,MATCH(($I189/12),Constants!$A:$A,0))=0,0,INDEX(Constants!G:G,MATCH(($I189/12),Constants!$A:$A,0)))),0),"")</f>
        <v/>
      </c>
      <c r="AW189" s="146" t="str">
        <f>IFERROR(_xlfn.IFNA(IF($BA189="No",0,IF(INDEX(Constants!H:H,MATCH(($I189/12),Constants!$A:$A,0))=0,0,INDEX(Constants!H:H,MATCH(($I189/12),Constants!$A:$A,0)))),0),"")</f>
        <v/>
      </c>
      <c r="AX189" s="146" t="str">
        <f>IFERROR(_xlfn.IFNA(IF($BA189="No",0,IF(INDEX(Constants!I:I,MATCH(($I189/12),Constants!$A:$A,0))=0,0,INDEX(Constants!I:I,MATCH(($I189/12),Constants!$A:$A,0)))),0),"")</f>
        <v/>
      </c>
      <c r="AY189" s="146" t="str">
        <f>IFERROR(_xlfn.IFNA(IF($BA189="No",0,IF(INDEX(Constants!J:J,MATCH(($I189/12),Constants!$A:$A,0))=0,0,INDEX(Constants!J:J,MATCH(($I189/12),Constants!$A:$A,0)))),0),"")</f>
        <v/>
      </c>
      <c r="AZ189" s="146" t="str">
        <f>IFERROR(_xlfn.IFNA(IF($BA189="No",0,IF(INDEX(Constants!K:K,MATCH(($I189/12),Constants!$A:$A,0))=0,0,INDEX(Constants!K:K,MATCH(($I189/12),Constants!$A:$A,0)))),0),"")</f>
        <v/>
      </c>
      <c r="BA189" s="147" t="str">
        <f>_xlfn.IFNA(INDEX(Producer!$L:$L,MATCH($D189,Producer!$A:$A,0)),"")</f>
        <v/>
      </c>
      <c r="BB189" s="146" t="str">
        <f>IFERROR(IF(AQ189=0,"",IF(($I189/12)=15,_xlfn.CONCAT(Constants!$N$7,TEXT(DATE(YEAR(H189)-(($I189/12)-3),MONTH(H189),DAY(H189)),"dd/mm/yyyy"),", ",Constants!$P$7,TEXT(DATE(YEAR(H189)-(($I189/12)-8),MONTH(H189),DAY(H189)),"dd/mm/yyyy"),", ",Constants!$T$7,TEXT(DATE(YEAR(H189)-(($I189/12)-11),MONTH(H189),DAY(H189)),"dd/mm/yyyy"),", ",Constants!$V$7,TEXT(DATE(YEAR(H189)-(($I189/12)-13),MONTH(H189),DAY(H189)),"dd/mm/yyyy"),", ",Constants!$W$7,TEXT($H189,"dd/mm/yyyy")),IF(($I189/12)=10,_xlfn.CONCAT(Constants!$N$6,TEXT(DATE(YEAR(H189)-(($I189/12)-2),MONTH(H189),DAY(H189)),"dd/mm/yyyy"),", ",Constants!$P$6,TEXT(DATE(YEAR(H189)-(($I189/12)-6),MONTH(H189),DAY(H189)),"dd/mm/yyyy"),", ",Constants!$T$6,TEXT(DATE(YEAR(H189)-(($I189/12)-8),MONTH(H189),DAY(H189)),"dd/mm/yyyy"),", ",Constants!$V$6,TEXT(DATE(YEAR(H189)-(($I189/12)-9),MONTH(H189),DAY(H189)),"dd/mm/yyyy"),", ",Constants!$W$6,TEXT($H189,"dd/mm/yyyy")),IF(($I189/12)=5,_xlfn.CONCAT(Constants!$N$5,TEXT(DATE(YEAR(H189)-(($I189/12)-1),MONTH(H189),DAY(H189)),"dd/mm/yyyy"),", ",Constants!$O$5,TEXT(DATE(YEAR(H189)-(($I189/12)-2),MONTH(H189),DAY(H189)),"dd/mm/yyyy"),", ",Constants!$P$5,TEXT(DATE(YEAR(H189)-(($I189/12)-3),MONTH(H189),DAY(H189)),"dd/mm/yyyy"),", ",Constants!$Q$5,TEXT(DATE(YEAR(H189)-(($I189/12)-4),MONTH(H189),DAY(H189)),"dd/mm/yyyy"),", ",Constants!$R$5,TEXT($H189,"dd/mm/yyyy")),IF(($I189/12)=3,_xlfn.CONCAT(Constants!$N$4,TEXT(DATE(YEAR(H189)-(($I189/12)-1),MONTH(H189),DAY(H189)),"dd/mm/yyyy"),", ",Constants!$O$4,TEXT(DATE(YEAR(H189)-(($I189/12)-2),MONTH(H189),DAY(H189)),"dd/mm/yyyy"),", ",Constants!$P$4,TEXT($H189,"dd/mm/yyyy")),IF(($I189/12)=2,_xlfn.CONCAT(Constants!$N$3,TEXT(DATE(YEAR(H189)-(($I189/12)-1),MONTH(H189),DAY(H189)),"dd/mm/yyyy"),", ",Constants!$O$3,TEXT($H189,"dd/mm/yyyy")),IF(($I189/12)=1,_xlfn.CONCAT(Constants!$N$2,TEXT($H189,"dd/mm/yyyy")),"Update Constants"))))))),"")</f>
        <v/>
      </c>
      <c r="BC189" s="147" t="str">
        <f>_xlfn.IFNA(VALUE(INDEX(Producer!$K:$K,MATCH($D189,Producer!$A:$A,0))),"")</f>
        <v/>
      </c>
      <c r="BD189" s="147" t="str">
        <f>_xlfn.IFNA(INDEX(Producer!$I:$I,MATCH($D189,Producer!$A:$A,0)),"")</f>
        <v/>
      </c>
      <c r="BE189" s="147" t="str">
        <f t="shared" si="64"/>
        <v/>
      </c>
      <c r="BF189" s="147"/>
      <c r="BG189" s="147"/>
      <c r="BH189" s="151" t="str">
        <f>_xlfn.IFNA(INDEX(Constants!$B:$B,MATCH(BC189,Constants!A:A,0)),"")</f>
        <v/>
      </c>
      <c r="BI189" s="147" t="str">
        <f>IF(LEFT(B189,15)="Limited Company",Constants!$D$16,IFERROR(_xlfn.IFNA(IF(C189="Residential",IF(BK189&lt;75,INDEX(Constants!$B:$B,MATCH(VALUE(60)/100,Constants!$A:$A,0)),INDEX(Constants!$B:$B,MATCH(VALUE(BK189)/100,Constants!$A:$A,0))),IF(BK189&lt;60,INDEX(Constants!$C:$C,MATCH(VALUE(60)/100,Constants!$A:$A,0)),INDEX(Constants!$C:$C,MATCH(VALUE(BK189)/100,Constants!$A:$A,0)))),""),""))</f>
        <v/>
      </c>
      <c r="BJ189" s="147" t="str">
        <f t="shared" si="65"/>
        <v/>
      </c>
      <c r="BK189" s="147" t="str">
        <f>_xlfn.IFNA(VALUE(INDEX(Producer!$E:$E,MATCH($D189,Producer!$A:$A,0)))*100,"")</f>
        <v/>
      </c>
      <c r="BL189" s="146" t="str">
        <f>_xlfn.IFNA(IF(IFERROR(FIND("Part &amp; Part",B189),-10)&gt;0,"PP",IF(OR(LEFT(B189,25)="Residential Interest Only",INDEX(Producer!$P:$P,MATCH($D189,Producer!$A:$A,0))="IO",INDEX(Producer!$P:$P,MATCH($D189,Producer!$A:$A,0))="Retirement Interest Only"),"IO",IF($C189="BuyToLet","CI, IO","CI"))),"")</f>
        <v/>
      </c>
      <c r="BM189" s="152" t="str">
        <f>_xlfn.IFNA(IF(BL189="IO",100%,IF(AND(INDEX(Producer!$P:$P,MATCH($D189,Producer!$A:$A,0))="Residential Interest Only Part &amp; Part",BK189=75),80%,IF(C189="BuyToLet",100%,IF(BL189="Interest Only",100%,IF(AND(INDEX(Producer!$P:$P,MATCH($D189,Producer!$A:$A,0))="Residential Interest Only Part &amp; Part",BK189=60),100%,""))))),"")</f>
        <v/>
      </c>
      <c r="BN189" s="218" t="str">
        <f>_xlfn.IFNA(IF(VALUE(INDEX(Producer!$H:$H,MATCH($D189,Producer!$A:$A,0)))=0,"",VALUE(INDEX(Producer!$H:$H,MATCH($D189,Producer!$A:$A,0)))),"")</f>
        <v/>
      </c>
      <c r="BO189" s="153"/>
      <c r="BP189" s="153"/>
      <c r="BQ189" s="219" t="str">
        <f t="shared" si="66"/>
        <v/>
      </c>
      <c r="BR189" s="146"/>
      <c r="BS189" s="146"/>
      <c r="BT189" s="146"/>
      <c r="BU189" s="146"/>
      <c r="BV189" s="219" t="str">
        <f t="shared" si="67"/>
        <v/>
      </c>
      <c r="BW189" s="146"/>
      <c r="BX189" s="146"/>
      <c r="BY189" s="146" t="str">
        <f t="shared" si="68"/>
        <v/>
      </c>
      <c r="BZ189" s="146" t="str">
        <f t="shared" si="69"/>
        <v/>
      </c>
      <c r="CA189" s="146" t="str">
        <f t="shared" si="70"/>
        <v/>
      </c>
      <c r="CB189" s="146" t="str">
        <f t="shared" si="71"/>
        <v/>
      </c>
      <c r="CC189" s="146" t="str">
        <f>_xlfn.IFNA(IF(INDEX(Producer!$P:$P,MATCH($D189,Producer!$A:$A,0))="Help to Buy","Only available","No"),"")</f>
        <v/>
      </c>
      <c r="CD189" s="146" t="str">
        <f>_xlfn.IFNA(IF(INDEX(Producer!$P:$P,MATCH($D189,Producer!$A:$A,0))="Shared Ownership","Only available","No"),"")</f>
        <v/>
      </c>
      <c r="CE189" s="146" t="str">
        <f>_xlfn.IFNA(IF(INDEX(Producer!$P:$P,MATCH($D189,Producer!$A:$A,0))="Right to Buy","Only available","No"),"")</f>
        <v/>
      </c>
      <c r="CF189" s="146" t="str">
        <f t="shared" si="72"/>
        <v/>
      </c>
      <c r="CG189" s="146" t="str">
        <f>_xlfn.IFNA(IF(INDEX(Producer!$P:$P,MATCH($D189,Producer!$A:$A,0))="Retirement Interest Only","Only available","No"),"")</f>
        <v/>
      </c>
      <c r="CH189" s="146" t="str">
        <f t="shared" si="73"/>
        <v/>
      </c>
      <c r="CI189" s="146" t="str">
        <f>_xlfn.IFNA(IF(INDEX(Producer!$P:$P,MATCH($D189,Producer!$A:$A,0))="Intermediary Holiday Let","Only available","No"),"")</f>
        <v/>
      </c>
      <c r="CJ189" s="146" t="str">
        <f t="shared" si="74"/>
        <v/>
      </c>
      <c r="CK189" s="146" t="str">
        <f>_xlfn.IFNA(IF(OR(INDEX(Producer!$P:$P,MATCH($D189,Producer!$A:$A,0))="Intermediary Small HMO",INDEX(Producer!$P:$P,MATCH($D189,Producer!$A:$A,0))="Intermediary Large HMO"),"Only available","No"),"")</f>
        <v/>
      </c>
      <c r="CL189" s="146" t="str">
        <f t="shared" si="75"/>
        <v/>
      </c>
      <c r="CM189" s="146" t="str">
        <f t="shared" si="76"/>
        <v/>
      </c>
      <c r="CN189" s="146" t="str">
        <f t="shared" si="77"/>
        <v/>
      </c>
      <c r="CO189" s="146" t="str">
        <f t="shared" si="78"/>
        <v/>
      </c>
      <c r="CP189" s="146" t="str">
        <f t="shared" si="79"/>
        <v/>
      </c>
      <c r="CQ189" s="146" t="str">
        <f t="shared" si="80"/>
        <v/>
      </c>
      <c r="CR189" s="146" t="str">
        <f t="shared" si="81"/>
        <v/>
      </c>
      <c r="CS189" s="146" t="str">
        <f t="shared" si="82"/>
        <v/>
      </c>
      <c r="CT189" s="146" t="str">
        <f t="shared" si="83"/>
        <v/>
      </c>
      <c r="CU189" s="146"/>
    </row>
    <row r="190" spans="1:99" ht="16.399999999999999" customHeight="1" x14ac:dyDescent="0.35">
      <c r="A190" s="145" t="str">
        <f t="shared" si="56"/>
        <v/>
      </c>
      <c r="B190" s="145" t="str">
        <f>_xlfn.IFNA(_xlfn.CONCAT(INDEX(Producer!$P:$P,MATCH($D190,Producer!$A:$A,0))," ",IF(INDEX(Producer!$N:$N,MATCH($D190,Producer!$A:$A,0))="Yes","Green ",""),IF(AND(INDEX(Producer!$L:$L,MATCH($D190,Producer!$A:$A,0))="No",INDEX(Producer!$C:$C,MATCH($D190,Producer!$A:$A,0))="Fixed"),"Flexit ",""),INDEX(Producer!$B:$B,MATCH($D190,Producer!$A:$A,0))," Year ",INDEX(Producer!$C:$C,MATCH($D190,Producer!$A:$A,0))," ",VALUE(INDEX(Producer!$E:$E,MATCH($D190,Producer!$A:$A,0)))*100,"% LTV",IF(INDEX(Producer!$N:$N,MATCH($D190,Producer!$A:$A,0))="Yes"," (EPC A-C)","")," - ",IF(INDEX(Producer!$D:$D,MATCH($D190,Producer!$A:$A,0))="DLY","Daily","Annual")),"")</f>
        <v/>
      </c>
      <c r="C190" s="146" t="str">
        <f>_xlfn.IFNA(INDEX(Producer!$Q:$Q,MATCH($D190,Producer!$A:$A,0)),"")</f>
        <v/>
      </c>
      <c r="D190" s="146" t="str">
        <f>IFERROR(VALUE(MID(Producer!$R$2,IF($D189="",1/0,FIND(_xlfn.CONCAT($D188,$D189),Producer!$R$2)+10),5)),"")</f>
        <v/>
      </c>
      <c r="E190" s="146" t="str">
        <f t="shared" si="57"/>
        <v/>
      </c>
      <c r="F190" s="146"/>
      <c r="G190" s="147" t="str">
        <f>_xlfn.IFNA(VALUE(INDEX(Producer!$F:$F,MATCH($D190,Producer!$A:$A,0)))*100,"")</f>
        <v/>
      </c>
      <c r="H190" s="216" t="str">
        <f>_xlfn.IFNA(IFERROR(DATEVALUE(INDEX(Producer!$M:$M,MATCH($D190,Producer!$A:$A,0))),(INDEX(Producer!$M:$M,MATCH($D190,Producer!$A:$A,0)))),"")</f>
        <v/>
      </c>
      <c r="I190" s="217" t="str">
        <f>_xlfn.IFNA(VALUE(INDEX(Producer!$B:$B,MATCH($D190,Producer!$A:$A,0)))*12,"")</f>
        <v/>
      </c>
      <c r="J190" s="146" t="str">
        <f>_xlfn.IFNA(IF(C190="Residential",IF(VALUE(INDEX(Producer!$B:$B,MATCH($D190,Producer!$A:$A,0)))&lt;5,Constants!$C$10,""),IF(VALUE(INDEX(Producer!$B:$B,MATCH($D190,Producer!$A:$A,0)))&lt;5,Constants!$C$11,"")),"")</f>
        <v/>
      </c>
      <c r="K190" s="216" t="str">
        <f>_xlfn.IFNA(IF(($I190)&lt;60,DATE(YEAR(H190)+(5-VALUE(INDEX(Producer!$B:$B,MATCH($D190,Producer!$A:$A,0)))),MONTH(H190),DAY(H190)),""),"")</f>
        <v/>
      </c>
      <c r="L190" s="153" t="str">
        <f t="shared" si="58"/>
        <v/>
      </c>
      <c r="M190" s="146"/>
      <c r="N190" s="148"/>
      <c r="O190" s="148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6"/>
      <c r="AK190" s="146" t="str">
        <f>IF(D190="","",IF(C190="Residential",Constants!$B$10,Constants!$B$11))</f>
        <v/>
      </c>
      <c r="AL190" s="146" t="str">
        <f t="shared" si="59"/>
        <v/>
      </c>
      <c r="AM190" s="206" t="str">
        <f t="shared" si="60"/>
        <v/>
      </c>
      <c r="AN190" s="146" t="str">
        <f t="shared" si="61"/>
        <v/>
      </c>
      <c r="AO190" s="149" t="str">
        <f t="shared" si="62"/>
        <v/>
      </c>
      <c r="AP190" s="150" t="str">
        <f t="shared" si="63"/>
        <v/>
      </c>
      <c r="AQ190" s="146" t="str">
        <f>IFERROR(_xlfn.IFNA(IF($BA190="No",0,IF(INDEX(Constants!B:B,MATCH(($I190/12),Constants!$A:$A,0))=0,0,INDEX(Constants!B:B,MATCH(($I190/12),Constants!$A:$A,0)))),0),"")</f>
        <v/>
      </c>
      <c r="AR190" s="146" t="str">
        <f>IFERROR(_xlfn.IFNA(IF($BA190="No",0,IF(INDEX(Constants!C:C,MATCH(($I190/12),Constants!$A:$A,0))=0,0,INDEX(Constants!C:C,MATCH(($I190/12),Constants!$A:$A,0)))),0),"")</f>
        <v/>
      </c>
      <c r="AS190" s="146" t="str">
        <f>IFERROR(_xlfn.IFNA(IF($BA190="No",0,IF(INDEX(Constants!D:D,MATCH(($I190/12),Constants!$A:$A,0))=0,0,INDEX(Constants!D:D,MATCH(($I190/12),Constants!$A:$A,0)))),0),"")</f>
        <v/>
      </c>
      <c r="AT190" s="146" t="str">
        <f>IFERROR(_xlfn.IFNA(IF($BA190="No",0,IF(INDEX(Constants!E:E,MATCH(($I190/12),Constants!$A:$A,0))=0,0,INDEX(Constants!E:E,MATCH(($I190/12),Constants!$A:$A,0)))),0),"")</f>
        <v/>
      </c>
      <c r="AU190" s="146" t="str">
        <f>IFERROR(_xlfn.IFNA(IF($BA190="No",0,IF(INDEX(Constants!F:F,MATCH(($I190/12),Constants!$A:$A,0))=0,0,INDEX(Constants!F:F,MATCH(($I190/12),Constants!$A:$A,0)))),0),"")</f>
        <v/>
      </c>
      <c r="AV190" s="146" t="str">
        <f>IFERROR(_xlfn.IFNA(IF($BA190="No",0,IF(INDEX(Constants!G:G,MATCH(($I190/12),Constants!$A:$A,0))=0,0,INDEX(Constants!G:G,MATCH(($I190/12),Constants!$A:$A,0)))),0),"")</f>
        <v/>
      </c>
      <c r="AW190" s="146" t="str">
        <f>IFERROR(_xlfn.IFNA(IF($BA190="No",0,IF(INDEX(Constants!H:H,MATCH(($I190/12),Constants!$A:$A,0))=0,0,INDEX(Constants!H:H,MATCH(($I190/12),Constants!$A:$A,0)))),0),"")</f>
        <v/>
      </c>
      <c r="AX190" s="146" t="str">
        <f>IFERROR(_xlfn.IFNA(IF($BA190="No",0,IF(INDEX(Constants!I:I,MATCH(($I190/12),Constants!$A:$A,0))=0,0,INDEX(Constants!I:I,MATCH(($I190/12),Constants!$A:$A,0)))),0),"")</f>
        <v/>
      </c>
      <c r="AY190" s="146" t="str">
        <f>IFERROR(_xlfn.IFNA(IF($BA190="No",0,IF(INDEX(Constants!J:J,MATCH(($I190/12),Constants!$A:$A,0))=0,0,INDEX(Constants!J:J,MATCH(($I190/12),Constants!$A:$A,0)))),0),"")</f>
        <v/>
      </c>
      <c r="AZ190" s="146" t="str">
        <f>IFERROR(_xlfn.IFNA(IF($BA190="No",0,IF(INDEX(Constants!K:K,MATCH(($I190/12),Constants!$A:$A,0))=0,0,INDEX(Constants!K:K,MATCH(($I190/12),Constants!$A:$A,0)))),0),"")</f>
        <v/>
      </c>
      <c r="BA190" s="147" t="str">
        <f>_xlfn.IFNA(INDEX(Producer!$L:$L,MATCH($D190,Producer!$A:$A,0)),"")</f>
        <v/>
      </c>
      <c r="BB190" s="146" t="str">
        <f>IFERROR(IF(AQ190=0,"",IF(($I190/12)=15,_xlfn.CONCAT(Constants!$N$7,TEXT(DATE(YEAR(H190)-(($I190/12)-3),MONTH(H190),DAY(H190)),"dd/mm/yyyy"),", ",Constants!$P$7,TEXT(DATE(YEAR(H190)-(($I190/12)-8),MONTH(H190),DAY(H190)),"dd/mm/yyyy"),", ",Constants!$T$7,TEXT(DATE(YEAR(H190)-(($I190/12)-11),MONTH(H190),DAY(H190)),"dd/mm/yyyy"),", ",Constants!$V$7,TEXT(DATE(YEAR(H190)-(($I190/12)-13),MONTH(H190),DAY(H190)),"dd/mm/yyyy"),", ",Constants!$W$7,TEXT($H190,"dd/mm/yyyy")),IF(($I190/12)=10,_xlfn.CONCAT(Constants!$N$6,TEXT(DATE(YEAR(H190)-(($I190/12)-2),MONTH(H190),DAY(H190)),"dd/mm/yyyy"),", ",Constants!$P$6,TEXT(DATE(YEAR(H190)-(($I190/12)-6),MONTH(H190),DAY(H190)),"dd/mm/yyyy"),", ",Constants!$T$6,TEXT(DATE(YEAR(H190)-(($I190/12)-8),MONTH(H190),DAY(H190)),"dd/mm/yyyy"),", ",Constants!$V$6,TEXT(DATE(YEAR(H190)-(($I190/12)-9),MONTH(H190),DAY(H190)),"dd/mm/yyyy"),", ",Constants!$W$6,TEXT($H190,"dd/mm/yyyy")),IF(($I190/12)=5,_xlfn.CONCAT(Constants!$N$5,TEXT(DATE(YEAR(H190)-(($I190/12)-1),MONTH(H190),DAY(H190)),"dd/mm/yyyy"),", ",Constants!$O$5,TEXT(DATE(YEAR(H190)-(($I190/12)-2),MONTH(H190),DAY(H190)),"dd/mm/yyyy"),", ",Constants!$P$5,TEXT(DATE(YEAR(H190)-(($I190/12)-3),MONTH(H190),DAY(H190)),"dd/mm/yyyy"),", ",Constants!$Q$5,TEXT(DATE(YEAR(H190)-(($I190/12)-4),MONTH(H190),DAY(H190)),"dd/mm/yyyy"),", ",Constants!$R$5,TEXT($H190,"dd/mm/yyyy")),IF(($I190/12)=3,_xlfn.CONCAT(Constants!$N$4,TEXT(DATE(YEAR(H190)-(($I190/12)-1),MONTH(H190),DAY(H190)),"dd/mm/yyyy"),", ",Constants!$O$4,TEXT(DATE(YEAR(H190)-(($I190/12)-2),MONTH(H190),DAY(H190)),"dd/mm/yyyy"),", ",Constants!$P$4,TEXT($H190,"dd/mm/yyyy")),IF(($I190/12)=2,_xlfn.CONCAT(Constants!$N$3,TEXT(DATE(YEAR(H190)-(($I190/12)-1),MONTH(H190),DAY(H190)),"dd/mm/yyyy"),", ",Constants!$O$3,TEXT($H190,"dd/mm/yyyy")),IF(($I190/12)=1,_xlfn.CONCAT(Constants!$N$2,TEXT($H190,"dd/mm/yyyy")),"Update Constants"))))))),"")</f>
        <v/>
      </c>
      <c r="BC190" s="147" t="str">
        <f>_xlfn.IFNA(VALUE(INDEX(Producer!$K:$K,MATCH($D190,Producer!$A:$A,0))),"")</f>
        <v/>
      </c>
      <c r="BD190" s="147" t="str">
        <f>_xlfn.IFNA(INDEX(Producer!$I:$I,MATCH($D190,Producer!$A:$A,0)),"")</f>
        <v/>
      </c>
      <c r="BE190" s="147" t="str">
        <f t="shared" si="64"/>
        <v/>
      </c>
      <c r="BF190" s="147"/>
      <c r="BG190" s="147"/>
      <c r="BH190" s="151" t="str">
        <f>_xlfn.IFNA(INDEX(Constants!$B:$B,MATCH(BC190,Constants!A:A,0)),"")</f>
        <v/>
      </c>
      <c r="BI190" s="147" t="str">
        <f>IF(LEFT(B190,15)="Limited Company",Constants!$D$16,IFERROR(_xlfn.IFNA(IF(C190="Residential",IF(BK190&lt;75,INDEX(Constants!$B:$B,MATCH(VALUE(60)/100,Constants!$A:$A,0)),INDEX(Constants!$B:$B,MATCH(VALUE(BK190)/100,Constants!$A:$A,0))),IF(BK190&lt;60,INDEX(Constants!$C:$C,MATCH(VALUE(60)/100,Constants!$A:$A,0)),INDEX(Constants!$C:$C,MATCH(VALUE(BK190)/100,Constants!$A:$A,0)))),""),""))</f>
        <v/>
      </c>
      <c r="BJ190" s="147" t="str">
        <f t="shared" si="65"/>
        <v/>
      </c>
      <c r="BK190" s="147" t="str">
        <f>_xlfn.IFNA(VALUE(INDEX(Producer!$E:$E,MATCH($D190,Producer!$A:$A,0)))*100,"")</f>
        <v/>
      </c>
      <c r="BL190" s="146" t="str">
        <f>_xlfn.IFNA(IF(IFERROR(FIND("Part &amp; Part",B190),-10)&gt;0,"PP",IF(OR(LEFT(B190,25)="Residential Interest Only",INDEX(Producer!$P:$P,MATCH($D190,Producer!$A:$A,0))="IO",INDEX(Producer!$P:$P,MATCH($D190,Producer!$A:$A,0))="Retirement Interest Only"),"IO",IF($C190="BuyToLet","CI, IO","CI"))),"")</f>
        <v/>
      </c>
      <c r="BM190" s="152" t="str">
        <f>_xlfn.IFNA(IF(BL190="IO",100%,IF(AND(INDEX(Producer!$P:$P,MATCH($D190,Producer!$A:$A,0))="Residential Interest Only Part &amp; Part",BK190=75),80%,IF(C190="BuyToLet",100%,IF(BL190="Interest Only",100%,IF(AND(INDEX(Producer!$P:$P,MATCH($D190,Producer!$A:$A,0))="Residential Interest Only Part &amp; Part",BK190=60),100%,""))))),"")</f>
        <v/>
      </c>
      <c r="BN190" s="218" t="str">
        <f>_xlfn.IFNA(IF(VALUE(INDEX(Producer!$H:$H,MATCH($D190,Producer!$A:$A,0)))=0,"",VALUE(INDEX(Producer!$H:$H,MATCH($D190,Producer!$A:$A,0)))),"")</f>
        <v/>
      </c>
      <c r="BO190" s="153"/>
      <c r="BP190" s="153"/>
      <c r="BQ190" s="219" t="str">
        <f t="shared" si="66"/>
        <v/>
      </c>
      <c r="BR190" s="146"/>
      <c r="BS190" s="146"/>
      <c r="BT190" s="146"/>
      <c r="BU190" s="146"/>
      <c r="BV190" s="219" t="str">
        <f t="shared" si="67"/>
        <v/>
      </c>
      <c r="BW190" s="146"/>
      <c r="BX190" s="146"/>
      <c r="BY190" s="146" t="str">
        <f t="shared" si="68"/>
        <v/>
      </c>
      <c r="BZ190" s="146" t="str">
        <f t="shared" si="69"/>
        <v/>
      </c>
      <c r="CA190" s="146" t="str">
        <f t="shared" si="70"/>
        <v/>
      </c>
      <c r="CB190" s="146" t="str">
        <f t="shared" si="71"/>
        <v/>
      </c>
      <c r="CC190" s="146" t="str">
        <f>_xlfn.IFNA(IF(INDEX(Producer!$P:$P,MATCH($D190,Producer!$A:$A,0))="Help to Buy","Only available","No"),"")</f>
        <v/>
      </c>
      <c r="CD190" s="146" t="str">
        <f>_xlfn.IFNA(IF(INDEX(Producer!$P:$P,MATCH($D190,Producer!$A:$A,0))="Shared Ownership","Only available","No"),"")</f>
        <v/>
      </c>
      <c r="CE190" s="146" t="str">
        <f>_xlfn.IFNA(IF(INDEX(Producer!$P:$P,MATCH($D190,Producer!$A:$A,0))="Right to Buy","Only available","No"),"")</f>
        <v/>
      </c>
      <c r="CF190" s="146" t="str">
        <f t="shared" si="72"/>
        <v/>
      </c>
      <c r="CG190" s="146" t="str">
        <f>_xlfn.IFNA(IF(INDEX(Producer!$P:$P,MATCH($D190,Producer!$A:$A,0))="Retirement Interest Only","Only available","No"),"")</f>
        <v/>
      </c>
      <c r="CH190" s="146" t="str">
        <f t="shared" si="73"/>
        <v/>
      </c>
      <c r="CI190" s="146" t="str">
        <f>_xlfn.IFNA(IF(INDEX(Producer!$P:$P,MATCH($D190,Producer!$A:$A,0))="Intermediary Holiday Let","Only available","No"),"")</f>
        <v/>
      </c>
      <c r="CJ190" s="146" t="str">
        <f t="shared" si="74"/>
        <v/>
      </c>
      <c r="CK190" s="146" t="str">
        <f>_xlfn.IFNA(IF(OR(INDEX(Producer!$P:$P,MATCH($D190,Producer!$A:$A,0))="Intermediary Small HMO",INDEX(Producer!$P:$P,MATCH($D190,Producer!$A:$A,0))="Intermediary Large HMO"),"Only available","No"),"")</f>
        <v/>
      </c>
      <c r="CL190" s="146" t="str">
        <f t="shared" si="75"/>
        <v/>
      </c>
      <c r="CM190" s="146" t="str">
        <f t="shared" si="76"/>
        <v/>
      </c>
      <c r="CN190" s="146" t="str">
        <f t="shared" si="77"/>
        <v/>
      </c>
      <c r="CO190" s="146" t="str">
        <f t="shared" si="78"/>
        <v/>
      </c>
      <c r="CP190" s="146" t="str">
        <f t="shared" si="79"/>
        <v/>
      </c>
      <c r="CQ190" s="146" t="str">
        <f t="shared" si="80"/>
        <v/>
      </c>
      <c r="CR190" s="146" t="str">
        <f t="shared" si="81"/>
        <v/>
      </c>
      <c r="CS190" s="146" t="str">
        <f t="shared" si="82"/>
        <v/>
      </c>
      <c r="CT190" s="146" t="str">
        <f t="shared" si="83"/>
        <v/>
      </c>
      <c r="CU190" s="146"/>
    </row>
    <row r="191" spans="1:99" ht="16.399999999999999" customHeight="1" x14ac:dyDescent="0.35">
      <c r="A191" s="145" t="str">
        <f t="shared" si="56"/>
        <v/>
      </c>
      <c r="B191" s="145" t="str">
        <f>_xlfn.IFNA(_xlfn.CONCAT(INDEX(Producer!$P:$P,MATCH($D191,Producer!$A:$A,0))," ",IF(INDEX(Producer!$N:$N,MATCH($D191,Producer!$A:$A,0))="Yes","Green ",""),IF(AND(INDEX(Producer!$L:$L,MATCH($D191,Producer!$A:$A,0))="No",INDEX(Producer!$C:$C,MATCH($D191,Producer!$A:$A,0))="Fixed"),"Flexit ",""),INDEX(Producer!$B:$B,MATCH($D191,Producer!$A:$A,0))," Year ",INDEX(Producer!$C:$C,MATCH($D191,Producer!$A:$A,0))," ",VALUE(INDEX(Producer!$E:$E,MATCH($D191,Producer!$A:$A,0)))*100,"% LTV",IF(INDEX(Producer!$N:$N,MATCH($D191,Producer!$A:$A,0))="Yes"," (EPC A-C)","")," - ",IF(INDEX(Producer!$D:$D,MATCH($D191,Producer!$A:$A,0))="DLY","Daily","Annual")),"")</f>
        <v/>
      </c>
      <c r="C191" s="146" t="str">
        <f>_xlfn.IFNA(INDEX(Producer!$Q:$Q,MATCH($D191,Producer!$A:$A,0)),"")</f>
        <v/>
      </c>
      <c r="D191" s="146" t="str">
        <f>IFERROR(VALUE(MID(Producer!$R$2,IF($D190="",1/0,FIND(_xlfn.CONCAT($D189,$D190),Producer!$R$2)+10),5)),"")</f>
        <v/>
      </c>
      <c r="E191" s="146" t="str">
        <f t="shared" si="57"/>
        <v/>
      </c>
      <c r="F191" s="146"/>
      <c r="G191" s="147" t="str">
        <f>_xlfn.IFNA(VALUE(INDEX(Producer!$F:$F,MATCH($D191,Producer!$A:$A,0)))*100,"")</f>
        <v/>
      </c>
      <c r="H191" s="216" t="str">
        <f>_xlfn.IFNA(IFERROR(DATEVALUE(INDEX(Producer!$M:$M,MATCH($D191,Producer!$A:$A,0))),(INDEX(Producer!$M:$M,MATCH($D191,Producer!$A:$A,0)))),"")</f>
        <v/>
      </c>
      <c r="I191" s="217" t="str">
        <f>_xlfn.IFNA(VALUE(INDEX(Producer!$B:$B,MATCH($D191,Producer!$A:$A,0)))*12,"")</f>
        <v/>
      </c>
      <c r="J191" s="146" t="str">
        <f>_xlfn.IFNA(IF(C191="Residential",IF(VALUE(INDEX(Producer!$B:$B,MATCH($D191,Producer!$A:$A,0)))&lt;5,Constants!$C$10,""),IF(VALUE(INDEX(Producer!$B:$B,MATCH($D191,Producer!$A:$A,0)))&lt;5,Constants!$C$11,"")),"")</f>
        <v/>
      </c>
      <c r="K191" s="216" t="str">
        <f>_xlfn.IFNA(IF(($I191)&lt;60,DATE(YEAR(H191)+(5-VALUE(INDEX(Producer!$B:$B,MATCH($D191,Producer!$A:$A,0)))),MONTH(H191),DAY(H191)),""),"")</f>
        <v/>
      </c>
      <c r="L191" s="153" t="str">
        <f t="shared" si="58"/>
        <v/>
      </c>
      <c r="M191" s="146"/>
      <c r="N191" s="148"/>
      <c r="O191" s="148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146" t="str">
        <f>IF(D191="","",IF(C191="Residential",Constants!$B$10,Constants!$B$11))</f>
        <v/>
      </c>
      <c r="AL191" s="146" t="str">
        <f t="shared" si="59"/>
        <v/>
      </c>
      <c r="AM191" s="206" t="str">
        <f t="shared" si="60"/>
        <v/>
      </c>
      <c r="AN191" s="146" t="str">
        <f t="shared" si="61"/>
        <v/>
      </c>
      <c r="AO191" s="149" t="str">
        <f t="shared" si="62"/>
        <v/>
      </c>
      <c r="AP191" s="150" t="str">
        <f t="shared" si="63"/>
        <v/>
      </c>
      <c r="AQ191" s="146" t="str">
        <f>IFERROR(_xlfn.IFNA(IF($BA191="No",0,IF(INDEX(Constants!B:B,MATCH(($I191/12),Constants!$A:$A,0))=0,0,INDEX(Constants!B:B,MATCH(($I191/12),Constants!$A:$A,0)))),0),"")</f>
        <v/>
      </c>
      <c r="AR191" s="146" t="str">
        <f>IFERROR(_xlfn.IFNA(IF($BA191="No",0,IF(INDEX(Constants!C:C,MATCH(($I191/12),Constants!$A:$A,0))=0,0,INDEX(Constants!C:C,MATCH(($I191/12),Constants!$A:$A,0)))),0),"")</f>
        <v/>
      </c>
      <c r="AS191" s="146" t="str">
        <f>IFERROR(_xlfn.IFNA(IF($BA191="No",0,IF(INDEX(Constants!D:D,MATCH(($I191/12),Constants!$A:$A,0))=0,0,INDEX(Constants!D:D,MATCH(($I191/12),Constants!$A:$A,0)))),0),"")</f>
        <v/>
      </c>
      <c r="AT191" s="146" t="str">
        <f>IFERROR(_xlfn.IFNA(IF($BA191="No",0,IF(INDEX(Constants!E:E,MATCH(($I191/12),Constants!$A:$A,0))=0,0,INDEX(Constants!E:E,MATCH(($I191/12),Constants!$A:$A,0)))),0),"")</f>
        <v/>
      </c>
      <c r="AU191" s="146" t="str">
        <f>IFERROR(_xlfn.IFNA(IF($BA191="No",0,IF(INDEX(Constants!F:F,MATCH(($I191/12),Constants!$A:$A,0))=0,0,INDEX(Constants!F:F,MATCH(($I191/12),Constants!$A:$A,0)))),0),"")</f>
        <v/>
      </c>
      <c r="AV191" s="146" t="str">
        <f>IFERROR(_xlfn.IFNA(IF($BA191="No",0,IF(INDEX(Constants!G:G,MATCH(($I191/12),Constants!$A:$A,0))=0,0,INDEX(Constants!G:G,MATCH(($I191/12),Constants!$A:$A,0)))),0),"")</f>
        <v/>
      </c>
      <c r="AW191" s="146" t="str">
        <f>IFERROR(_xlfn.IFNA(IF($BA191="No",0,IF(INDEX(Constants!H:H,MATCH(($I191/12),Constants!$A:$A,0))=0,0,INDEX(Constants!H:H,MATCH(($I191/12),Constants!$A:$A,0)))),0),"")</f>
        <v/>
      </c>
      <c r="AX191" s="146" t="str">
        <f>IFERROR(_xlfn.IFNA(IF($BA191="No",0,IF(INDEX(Constants!I:I,MATCH(($I191/12),Constants!$A:$A,0))=0,0,INDEX(Constants!I:I,MATCH(($I191/12),Constants!$A:$A,0)))),0),"")</f>
        <v/>
      </c>
      <c r="AY191" s="146" t="str">
        <f>IFERROR(_xlfn.IFNA(IF($BA191="No",0,IF(INDEX(Constants!J:J,MATCH(($I191/12),Constants!$A:$A,0))=0,0,INDEX(Constants!J:J,MATCH(($I191/12),Constants!$A:$A,0)))),0),"")</f>
        <v/>
      </c>
      <c r="AZ191" s="146" t="str">
        <f>IFERROR(_xlfn.IFNA(IF($BA191="No",0,IF(INDEX(Constants!K:K,MATCH(($I191/12),Constants!$A:$A,0))=0,0,INDEX(Constants!K:K,MATCH(($I191/12),Constants!$A:$A,0)))),0),"")</f>
        <v/>
      </c>
      <c r="BA191" s="147" t="str">
        <f>_xlfn.IFNA(INDEX(Producer!$L:$L,MATCH($D191,Producer!$A:$A,0)),"")</f>
        <v/>
      </c>
      <c r="BB191" s="146" t="str">
        <f>IFERROR(IF(AQ191=0,"",IF(($I191/12)=15,_xlfn.CONCAT(Constants!$N$7,TEXT(DATE(YEAR(H191)-(($I191/12)-3),MONTH(H191),DAY(H191)),"dd/mm/yyyy"),", ",Constants!$P$7,TEXT(DATE(YEAR(H191)-(($I191/12)-8),MONTH(H191),DAY(H191)),"dd/mm/yyyy"),", ",Constants!$T$7,TEXT(DATE(YEAR(H191)-(($I191/12)-11),MONTH(H191),DAY(H191)),"dd/mm/yyyy"),", ",Constants!$V$7,TEXT(DATE(YEAR(H191)-(($I191/12)-13),MONTH(H191),DAY(H191)),"dd/mm/yyyy"),", ",Constants!$W$7,TEXT($H191,"dd/mm/yyyy")),IF(($I191/12)=10,_xlfn.CONCAT(Constants!$N$6,TEXT(DATE(YEAR(H191)-(($I191/12)-2),MONTH(H191),DAY(H191)),"dd/mm/yyyy"),", ",Constants!$P$6,TEXT(DATE(YEAR(H191)-(($I191/12)-6),MONTH(H191),DAY(H191)),"dd/mm/yyyy"),", ",Constants!$T$6,TEXT(DATE(YEAR(H191)-(($I191/12)-8),MONTH(H191),DAY(H191)),"dd/mm/yyyy"),", ",Constants!$V$6,TEXT(DATE(YEAR(H191)-(($I191/12)-9),MONTH(H191),DAY(H191)),"dd/mm/yyyy"),", ",Constants!$W$6,TEXT($H191,"dd/mm/yyyy")),IF(($I191/12)=5,_xlfn.CONCAT(Constants!$N$5,TEXT(DATE(YEAR(H191)-(($I191/12)-1),MONTH(H191),DAY(H191)),"dd/mm/yyyy"),", ",Constants!$O$5,TEXT(DATE(YEAR(H191)-(($I191/12)-2),MONTH(H191),DAY(H191)),"dd/mm/yyyy"),", ",Constants!$P$5,TEXT(DATE(YEAR(H191)-(($I191/12)-3),MONTH(H191),DAY(H191)),"dd/mm/yyyy"),", ",Constants!$Q$5,TEXT(DATE(YEAR(H191)-(($I191/12)-4),MONTH(H191),DAY(H191)),"dd/mm/yyyy"),", ",Constants!$R$5,TEXT($H191,"dd/mm/yyyy")),IF(($I191/12)=3,_xlfn.CONCAT(Constants!$N$4,TEXT(DATE(YEAR(H191)-(($I191/12)-1),MONTH(H191),DAY(H191)),"dd/mm/yyyy"),", ",Constants!$O$4,TEXT(DATE(YEAR(H191)-(($I191/12)-2),MONTH(H191),DAY(H191)),"dd/mm/yyyy"),", ",Constants!$P$4,TEXT($H191,"dd/mm/yyyy")),IF(($I191/12)=2,_xlfn.CONCAT(Constants!$N$3,TEXT(DATE(YEAR(H191)-(($I191/12)-1),MONTH(H191),DAY(H191)),"dd/mm/yyyy"),", ",Constants!$O$3,TEXT($H191,"dd/mm/yyyy")),IF(($I191/12)=1,_xlfn.CONCAT(Constants!$N$2,TEXT($H191,"dd/mm/yyyy")),"Update Constants"))))))),"")</f>
        <v/>
      </c>
      <c r="BC191" s="147" t="str">
        <f>_xlfn.IFNA(VALUE(INDEX(Producer!$K:$K,MATCH($D191,Producer!$A:$A,0))),"")</f>
        <v/>
      </c>
      <c r="BD191" s="147" t="str">
        <f>_xlfn.IFNA(INDEX(Producer!$I:$I,MATCH($D191,Producer!$A:$A,0)),"")</f>
        <v/>
      </c>
      <c r="BE191" s="147" t="str">
        <f t="shared" si="64"/>
        <v/>
      </c>
      <c r="BF191" s="147"/>
      <c r="BG191" s="147"/>
      <c r="BH191" s="151" t="str">
        <f>_xlfn.IFNA(INDEX(Constants!$B:$B,MATCH(BC191,Constants!A:A,0)),"")</f>
        <v/>
      </c>
      <c r="BI191" s="147" t="str">
        <f>IF(LEFT(B191,15)="Limited Company",Constants!$D$16,IFERROR(_xlfn.IFNA(IF(C191="Residential",IF(BK191&lt;75,INDEX(Constants!$B:$B,MATCH(VALUE(60)/100,Constants!$A:$A,0)),INDEX(Constants!$B:$B,MATCH(VALUE(BK191)/100,Constants!$A:$A,0))),IF(BK191&lt;60,INDEX(Constants!$C:$C,MATCH(VALUE(60)/100,Constants!$A:$A,0)),INDEX(Constants!$C:$C,MATCH(VALUE(BK191)/100,Constants!$A:$A,0)))),""),""))</f>
        <v/>
      </c>
      <c r="BJ191" s="147" t="str">
        <f t="shared" si="65"/>
        <v/>
      </c>
      <c r="BK191" s="147" t="str">
        <f>_xlfn.IFNA(VALUE(INDEX(Producer!$E:$E,MATCH($D191,Producer!$A:$A,0)))*100,"")</f>
        <v/>
      </c>
      <c r="BL191" s="146" t="str">
        <f>_xlfn.IFNA(IF(IFERROR(FIND("Part &amp; Part",B191),-10)&gt;0,"PP",IF(OR(LEFT(B191,25)="Residential Interest Only",INDEX(Producer!$P:$P,MATCH($D191,Producer!$A:$A,0))="IO",INDEX(Producer!$P:$P,MATCH($D191,Producer!$A:$A,0))="Retirement Interest Only"),"IO",IF($C191="BuyToLet","CI, IO","CI"))),"")</f>
        <v/>
      </c>
      <c r="BM191" s="152" t="str">
        <f>_xlfn.IFNA(IF(BL191="IO",100%,IF(AND(INDEX(Producer!$P:$P,MATCH($D191,Producer!$A:$A,0))="Residential Interest Only Part &amp; Part",BK191=75),80%,IF(C191="BuyToLet",100%,IF(BL191="Interest Only",100%,IF(AND(INDEX(Producer!$P:$P,MATCH($D191,Producer!$A:$A,0))="Residential Interest Only Part &amp; Part",BK191=60),100%,""))))),"")</f>
        <v/>
      </c>
      <c r="BN191" s="218" t="str">
        <f>_xlfn.IFNA(IF(VALUE(INDEX(Producer!$H:$H,MATCH($D191,Producer!$A:$A,0)))=0,"",VALUE(INDEX(Producer!$H:$H,MATCH($D191,Producer!$A:$A,0)))),"")</f>
        <v/>
      </c>
      <c r="BO191" s="153"/>
      <c r="BP191" s="153"/>
      <c r="BQ191" s="219" t="str">
        <f t="shared" si="66"/>
        <v/>
      </c>
      <c r="BR191" s="146"/>
      <c r="BS191" s="146"/>
      <c r="BT191" s="146"/>
      <c r="BU191" s="146"/>
      <c r="BV191" s="219" t="str">
        <f t="shared" si="67"/>
        <v/>
      </c>
      <c r="BW191" s="146"/>
      <c r="BX191" s="146"/>
      <c r="BY191" s="146" t="str">
        <f t="shared" si="68"/>
        <v/>
      </c>
      <c r="BZ191" s="146" t="str">
        <f t="shared" si="69"/>
        <v/>
      </c>
      <c r="CA191" s="146" t="str">
        <f t="shared" si="70"/>
        <v/>
      </c>
      <c r="CB191" s="146" t="str">
        <f t="shared" si="71"/>
        <v/>
      </c>
      <c r="CC191" s="146" t="str">
        <f>_xlfn.IFNA(IF(INDEX(Producer!$P:$P,MATCH($D191,Producer!$A:$A,0))="Help to Buy","Only available","No"),"")</f>
        <v/>
      </c>
      <c r="CD191" s="146" t="str">
        <f>_xlfn.IFNA(IF(INDEX(Producer!$P:$P,MATCH($D191,Producer!$A:$A,0))="Shared Ownership","Only available","No"),"")</f>
        <v/>
      </c>
      <c r="CE191" s="146" t="str">
        <f>_xlfn.IFNA(IF(INDEX(Producer!$P:$P,MATCH($D191,Producer!$A:$A,0))="Right to Buy","Only available","No"),"")</f>
        <v/>
      </c>
      <c r="CF191" s="146" t="str">
        <f t="shared" si="72"/>
        <v/>
      </c>
      <c r="CG191" s="146" t="str">
        <f>_xlfn.IFNA(IF(INDEX(Producer!$P:$P,MATCH($D191,Producer!$A:$A,0))="Retirement Interest Only","Only available","No"),"")</f>
        <v/>
      </c>
      <c r="CH191" s="146" t="str">
        <f t="shared" si="73"/>
        <v/>
      </c>
      <c r="CI191" s="146" t="str">
        <f>_xlfn.IFNA(IF(INDEX(Producer!$P:$P,MATCH($D191,Producer!$A:$A,0))="Intermediary Holiday Let","Only available","No"),"")</f>
        <v/>
      </c>
      <c r="CJ191" s="146" t="str">
        <f t="shared" si="74"/>
        <v/>
      </c>
      <c r="CK191" s="146" t="str">
        <f>_xlfn.IFNA(IF(OR(INDEX(Producer!$P:$P,MATCH($D191,Producer!$A:$A,0))="Intermediary Small HMO",INDEX(Producer!$P:$P,MATCH($D191,Producer!$A:$A,0))="Intermediary Large HMO"),"Only available","No"),"")</f>
        <v/>
      </c>
      <c r="CL191" s="146" t="str">
        <f t="shared" si="75"/>
        <v/>
      </c>
      <c r="CM191" s="146" t="str">
        <f t="shared" si="76"/>
        <v/>
      </c>
      <c r="CN191" s="146" t="str">
        <f t="shared" si="77"/>
        <v/>
      </c>
      <c r="CO191" s="146" t="str">
        <f t="shared" si="78"/>
        <v/>
      </c>
      <c r="CP191" s="146" t="str">
        <f t="shared" si="79"/>
        <v/>
      </c>
      <c r="CQ191" s="146" t="str">
        <f t="shared" si="80"/>
        <v/>
      </c>
      <c r="CR191" s="146" t="str">
        <f t="shared" si="81"/>
        <v/>
      </c>
      <c r="CS191" s="146" t="str">
        <f t="shared" si="82"/>
        <v/>
      </c>
      <c r="CT191" s="146" t="str">
        <f t="shared" si="83"/>
        <v/>
      </c>
      <c r="CU191" s="146"/>
    </row>
    <row r="192" spans="1:99" ht="16.399999999999999" customHeight="1" x14ac:dyDescent="0.35">
      <c r="A192" s="145" t="str">
        <f t="shared" si="56"/>
        <v/>
      </c>
      <c r="B192" s="145" t="str">
        <f>_xlfn.IFNA(_xlfn.CONCAT(INDEX(Producer!$P:$P,MATCH($D192,Producer!$A:$A,0))," ",IF(INDEX(Producer!$N:$N,MATCH($D192,Producer!$A:$A,0))="Yes","Green ",""),IF(AND(INDEX(Producer!$L:$L,MATCH($D192,Producer!$A:$A,0))="No",INDEX(Producer!$C:$C,MATCH($D192,Producer!$A:$A,0))="Fixed"),"Flexit ",""),INDEX(Producer!$B:$B,MATCH($D192,Producer!$A:$A,0))," Year ",INDEX(Producer!$C:$C,MATCH($D192,Producer!$A:$A,0))," ",VALUE(INDEX(Producer!$E:$E,MATCH($D192,Producer!$A:$A,0)))*100,"% LTV",IF(INDEX(Producer!$N:$N,MATCH($D192,Producer!$A:$A,0))="Yes"," (EPC A-C)","")," - ",IF(INDEX(Producer!$D:$D,MATCH($D192,Producer!$A:$A,0))="DLY","Daily","Annual")),"")</f>
        <v/>
      </c>
      <c r="C192" s="146" t="str">
        <f>_xlfn.IFNA(INDEX(Producer!$Q:$Q,MATCH($D192,Producer!$A:$A,0)),"")</f>
        <v/>
      </c>
      <c r="D192" s="146" t="str">
        <f>IFERROR(VALUE(MID(Producer!$R$2,IF($D191="",1/0,FIND(_xlfn.CONCAT($D190,$D191),Producer!$R$2)+10),5)),"")</f>
        <v/>
      </c>
      <c r="E192" s="146" t="str">
        <f t="shared" si="57"/>
        <v/>
      </c>
      <c r="F192" s="146"/>
      <c r="G192" s="147" t="str">
        <f>_xlfn.IFNA(VALUE(INDEX(Producer!$F:$F,MATCH($D192,Producer!$A:$A,0)))*100,"")</f>
        <v/>
      </c>
      <c r="H192" s="216" t="str">
        <f>_xlfn.IFNA(IFERROR(DATEVALUE(INDEX(Producer!$M:$M,MATCH($D192,Producer!$A:$A,0))),(INDEX(Producer!$M:$M,MATCH($D192,Producer!$A:$A,0)))),"")</f>
        <v/>
      </c>
      <c r="I192" s="217" t="str">
        <f>_xlfn.IFNA(VALUE(INDEX(Producer!$B:$B,MATCH($D192,Producer!$A:$A,0)))*12,"")</f>
        <v/>
      </c>
      <c r="J192" s="146" t="str">
        <f>_xlfn.IFNA(IF(C192="Residential",IF(VALUE(INDEX(Producer!$B:$B,MATCH($D192,Producer!$A:$A,0)))&lt;5,Constants!$C$10,""),IF(VALUE(INDEX(Producer!$B:$B,MATCH($D192,Producer!$A:$A,0)))&lt;5,Constants!$C$11,"")),"")</f>
        <v/>
      </c>
      <c r="K192" s="216" t="str">
        <f>_xlfn.IFNA(IF(($I192)&lt;60,DATE(YEAR(H192)+(5-VALUE(INDEX(Producer!$B:$B,MATCH($D192,Producer!$A:$A,0)))),MONTH(H192),DAY(H192)),""),"")</f>
        <v/>
      </c>
      <c r="L192" s="153" t="str">
        <f t="shared" si="58"/>
        <v/>
      </c>
      <c r="M192" s="146"/>
      <c r="N192" s="148"/>
      <c r="O192" s="148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6"/>
      <c r="AK192" s="146" t="str">
        <f>IF(D192="","",IF(C192="Residential",Constants!$B$10,Constants!$B$11))</f>
        <v/>
      </c>
      <c r="AL192" s="146" t="str">
        <f t="shared" si="59"/>
        <v/>
      </c>
      <c r="AM192" s="206" t="str">
        <f t="shared" si="60"/>
        <v/>
      </c>
      <c r="AN192" s="146" t="str">
        <f t="shared" si="61"/>
        <v/>
      </c>
      <c r="AO192" s="149" t="str">
        <f t="shared" si="62"/>
        <v/>
      </c>
      <c r="AP192" s="150" t="str">
        <f t="shared" si="63"/>
        <v/>
      </c>
      <c r="AQ192" s="146" t="str">
        <f>IFERROR(_xlfn.IFNA(IF($BA192="No",0,IF(INDEX(Constants!B:B,MATCH(($I192/12),Constants!$A:$A,0))=0,0,INDEX(Constants!B:B,MATCH(($I192/12),Constants!$A:$A,0)))),0),"")</f>
        <v/>
      </c>
      <c r="AR192" s="146" t="str">
        <f>IFERROR(_xlfn.IFNA(IF($BA192="No",0,IF(INDEX(Constants!C:C,MATCH(($I192/12),Constants!$A:$A,0))=0,0,INDEX(Constants!C:C,MATCH(($I192/12),Constants!$A:$A,0)))),0),"")</f>
        <v/>
      </c>
      <c r="AS192" s="146" t="str">
        <f>IFERROR(_xlfn.IFNA(IF($BA192="No",0,IF(INDEX(Constants!D:D,MATCH(($I192/12),Constants!$A:$A,0))=0,0,INDEX(Constants!D:D,MATCH(($I192/12),Constants!$A:$A,0)))),0),"")</f>
        <v/>
      </c>
      <c r="AT192" s="146" t="str">
        <f>IFERROR(_xlfn.IFNA(IF($BA192="No",0,IF(INDEX(Constants!E:E,MATCH(($I192/12),Constants!$A:$A,0))=0,0,INDEX(Constants!E:E,MATCH(($I192/12),Constants!$A:$A,0)))),0),"")</f>
        <v/>
      </c>
      <c r="AU192" s="146" t="str">
        <f>IFERROR(_xlfn.IFNA(IF($BA192="No",0,IF(INDEX(Constants!F:F,MATCH(($I192/12),Constants!$A:$A,0))=0,0,INDEX(Constants!F:F,MATCH(($I192/12),Constants!$A:$A,0)))),0),"")</f>
        <v/>
      </c>
      <c r="AV192" s="146" t="str">
        <f>IFERROR(_xlfn.IFNA(IF($BA192="No",0,IF(INDEX(Constants!G:G,MATCH(($I192/12),Constants!$A:$A,0))=0,0,INDEX(Constants!G:G,MATCH(($I192/12),Constants!$A:$A,0)))),0),"")</f>
        <v/>
      </c>
      <c r="AW192" s="146" t="str">
        <f>IFERROR(_xlfn.IFNA(IF($BA192="No",0,IF(INDEX(Constants!H:H,MATCH(($I192/12),Constants!$A:$A,0))=0,0,INDEX(Constants!H:H,MATCH(($I192/12),Constants!$A:$A,0)))),0),"")</f>
        <v/>
      </c>
      <c r="AX192" s="146" t="str">
        <f>IFERROR(_xlfn.IFNA(IF($BA192="No",0,IF(INDEX(Constants!I:I,MATCH(($I192/12),Constants!$A:$A,0))=0,0,INDEX(Constants!I:I,MATCH(($I192/12),Constants!$A:$A,0)))),0),"")</f>
        <v/>
      </c>
      <c r="AY192" s="146" t="str">
        <f>IFERROR(_xlfn.IFNA(IF($BA192="No",0,IF(INDEX(Constants!J:J,MATCH(($I192/12),Constants!$A:$A,0))=0,0,INDEX(Constants!J:J,MATCH(($I192/12),Constants!$A:$A,0)))),0),"")</f>
        <v/>
      </c>
      <c r="AZ192" s="146" t="str">
        <f>IFERROR(_xlfn.IFNA(IF($BA192="No",0,IF(INDEX(Constants!K:K,MATCH(($I192/12),Constants!$A:$A,0))=0,0,INDEX(Constants!K:K,MATCH(($I192/12),Constants!$A:$A,0)))),0),"")</f>
        <v/>
      </c>
      <c r="BA192" s="147" t="str">
        <f>_xlfn.IFNA(INDEX(Producer!$L:$L,MATCH($D192,Producer!$A:$A,0)),"")</f>
        <v/>
      </c>
      <c r="BB192" s="146" t="str">
        <f>IFERROR(IF(AQ192=0,"",IF(($I192/12)=15,_xlfn.CONCAT(Constants!$N$7,TEXT(DATE(YEAR(H192)-(($I192/12)-3),MONTH(H192),DAY(H192)),"dd/mm/yyyy"),", ",Constants!$P$7,TEXT(DATE(YEAR(H192)-(($I192/12)-8),MONTH(H192),DAY(H192)),"dd/mm/yyyy"),", ",Constants!$T$7,TEXT(DATE(YEAR(H192)-(($I192/12)-11),MONTH(H192),DAY(H192)),"dd/mm/yyyy"),", ",Constants!$V$7,TEXT(DATE(YEAR(H192)-(($I192/12)-13),MONTH(H192),DAY(H192)),"dd/mm/yyyy"),", ",Constants!$W$7,TEXT($H192,"dd/mm/yyyy")),IF(($I192/12)=10,_xlfn.CONCAT(Constants!$N$6,TEXT(DATE(YEAR(H192)-(($I192/12)-2),MONTH(H192),DAY(H192)),"dd/mm/yyyy"),", ",Constants!$P$6,TEXT(DATE(YEAR(H192)-(($I192/12)-6),MONTH(H192),DAY(H192)),"dd/mm/yyyy"),", ",Constants!$T$6,TEXT(DATE(YEAR(H192)-(($I192/12)-8),MONTH(H192),DAY(H192)),"dd/mm/yyyy"),", ",Constants!$V$6,TEXT(DATE(YEAR(H192)-(($I192/12)-9),MONTH(H192),DAY(H192)),"dd/mm/yyyy"),", ",Constants!$W$6,TEXT($H192,"dd/mm/yyyy")),IF(($I192/12)=5,_xlfn.CONCAT(Constants!$N$5,TEXT(DATE(YEAR(H192)-(($I192/12)-1),MONTH(H192),DAY(H192)),"dd/mm/yyyy"),", ",Constants!$O$5,TEXT(DATE(YEAR(H192)-(($I192/12)-2),MONTH(H192),DAY(H192)),"dd/mm/yyyy"),", ",Constants!$P$5,TEXT(DATE(YEAR(H192)-(($I192/12)-3),MONTH(H192),DAY(H192)),"dd/mm/yyyy"),", ",Constants!$Q$5,TEXT(DATE(YEAR(H192)-(($I192/12)-4),MONTH(H192),DAY(H192)),"dd/mm/yyyy"),", ",Constants!$R$5,TEXT($H192,"dd/mm/yyyy")),IF(($I192/12)=3,_xlfn.CONCAT(Constants!$N$4,TEXT(DATE(YEAR(H192)-(($I192/12)-1),MONTH(H192),DAY(H192)),"dd/mm/yyyy"),", ",Constants!$O$4,TEXT(DATE(YEAR(H192)-(($I192/12)-2),MONTH(H192),DAY(H192)),"dd/mm/yyyy"),", ",Constants!$P$4,TEXT($H192,"dd/mm/yyyy")),IF(($I192/12)=2,_xlfn.CONCAT(Constants!$N$3,TEXT(DATE(YEAR(H192)-(($I192/12)-1),MONTH(H192),DAY(H192)),"dd/mm/yyyy"),", ",Constants!$O$3,TEXT($H192,"dd/mm/yyyy")),IF(($I192/12)=1,_xlfn.CONCAT(Constants!$N$2,TEXT($H192,"dd/mm/yyyy")),"Update Constants"))))))),"")</f>
        <v/>
      </c>
      <c r="BC192" s="147" t="str">
        <f>_xlfn.IFNA(VALUE(INDEX(Producer!$K:$K,MATCH($D192,Producer!$A:$A,0))),"")</f>
        <v/>
      </c>
      <c r="BD192" s="147" t="str">
        <f>_xlfn.IFNA(INDEX(Producer!$I:$I,MATCH($D192,Producer!$A:$A,0)),"")</f>
        <v/>
      </c>
      <c r="BE192" s="147" t="str">
        <f t="shared" si="64"/>
        <v/>
      </c>
      <c r="BF192" s="147"/>
      <c r="BG192" s="147"/>
      <c r="BH192" s="151" t="str">
        <f>_xlfn.IFNA(INDEX(Constants!$B:$B,MATCH(BC192,Constants!A:A,0)),"")</f>
        <v/>
      </c>
      <c r="BI192" s="147" t="str">
        <f>IF(LEFT(B192,15)="Limited Company",Constants!$D$16,IFERROR(_xlfn.IFNA(IF(C192="Residential",IF(BK192&lt;75,INDEX(Constants!$B:$B,MATCH(VALUE(60)/100,Constants!$A:$A,0)),INDEX(Constants!$B:$B,MATCH(VALUE(BK192)/100,Constants!$A:$A,0))),IF(BK192&lt;60,INDEX(Constants!$C:$C,MATCH(VALUE(60)/100,Constants!$A:$A,0)),INDEX(Constants!$C:$C,MATCH(VALUE(BK192)/100,Constants!$A:$A,0)))),""),""))</f>
        <v/>
      </c>
      <c r="BJ192" s="147" t="str">
        <f t="shared" si="65"/>
        <v/>
      </c>
      <c r="BK192" s="147" t="str">
        <f>_xlfn.IFNA(VALUE(INDEX(Producer!$E:$E,MATCH($D192,Producer!$A:$A,0)))*100,"")</f>
        <v/>
      </c>
      <c r="BL192" s="146" t="str">
        <f>_xlfn.IFNA(IF(IFERROR(FIND("Part &amp; Part",B192),-10)&gt;0,"PP",IF(OR(LEFT(B192,25)="Residential Interest Only",INDEX(Producer!$P:$P,MATCH($D192,Producer!$A:$A,0))="IO",INDEX(Producer!$P:$P,MATCH($D192,Producer!$A:$A,0))="Retirement Interest Only"),"IO",IF($C192="BuyToLet","CI, IO","CI"))),"")</f>
        <v/>
      </c>
      <c r="BM192" s="152" t="str">
        <f>_xlfn.IFNA(IF(BL192="IO",100%,IF(AND(INDEX(Producer!$P:$P,MATCH($D192,Producer!$A:$A,0))="Residential Interest Only Part &amp; Part",BK192=75),80%,IF(C192="BuyToLet",100%,IF(BL192="Interest Only",100%,IF(AND(INDEX(Producer!$P:$P,MATCH($D192,Producer!$A:$A,0))="Residential Interest Only Part &amp; Part",BK192=60),100%,""))))),"")</f>
        <v/>
      </c>
      <c r="BN192" s="218" t="str">
        <f>_xlfn.IFNA(IF(VALUE(INDEX(Producer!$H:$H,MATCH($D192,Producer!$A:$A,0)))=0,"",VALUE(INDEX(Producer!$H:$H,MATCH($D192,Producer!$A:$A,0)))),"")</f>
        <v/>
      </c>
      <c r="BO192" s="153"/>
      <c r="BP192" s="153"/>
      <c r="BQ192" s="219" t="str">
        <f t="shared" si="66"/>
        <v/>
      </c>
      <c r="BR192" s="146"/>
      <c r="BS192" s="146"/>
      <c r="BT192" s="146"/>
      <c r="BU192" s="146"/>
      <c r="BV192" s="219" t="str">
        <f t="shared" si="67"/>
        <v/>
      </c>
      <c r="BW192" s="146"/>
      <c r="BX192" s="146"/>
      <c r="BY192" s="146" t="str">
        <f t="shared" si="68"/>
        <v/>
      </c>
      <c r="BZ192" s="146" t="str">
        <f t="shared" si="69"/>
        <v/>
      </c>
      <c r="CA192" s="146" t="str">
        <f t="shared" si="70"/>
        <v/>
      </c>
      <c r="CB192" s="146" t="str">
        <f t="shared" si="71"/>
        <v/>
      </c>
      <c r="CC192" s="146" t="str">
        <f>_xlfn.IFNA(IF(INDEX(Producer!$P:$P,MATCH($D192,Producer!$A:$A,0))="Help to Buy","Only available","No"),"")</f>
        <v/>
      </c>
      <c r="CD192" s="146" t="str">
        <f>_xlfn.IFNA(IF(INDEX(Producer!$P:$P,MATCH($D192,Producer!$A:$A,0))="Shared Ownership","Only available","No"),"")</f>
        <v/>
      </c>
      <c r="CE192" s="146" t="str">
        <f>_xlfn.IFNA(IF(INDEX(Producer!$P:$P,MATCH($D192,Producer!$A:$A,0))="Right to Buy","Only available","No"),"")</f>
        <v/>
      </c>
      <c r="CF192" s="146" t="str">
        <f t="shared" si="72"/>
        <v/>
      </c>
      <c r="CG192" s="146" t="str">
        <f>_xlfn.IFNA(IF(INDEX(Producer!$P:$P,MATCH($D192,Producer!$A:$A,0))="Retirement Interest Only","Only available","No"),"")</f>
        <v/>
      </c>
      <c r="CH192" s="146" t="str">
        <f t="shared" si="73"/>
        <v/>
      </c>
      <c r="CI192" s="146" t="str">
        <f>_xlfn.IFNA(IF(INDEX(Producer!$P:$P,MATCH($D192,Producer!$A:$A,0))="Intermediary Holiday Let","Only available","No"),"")</f>
        <v/>
      </c>
      <c r="CJ192" s="146" t="str">
        <f t="shared" si="74"/>
        <v/>
      </c>
      <c r="CK192" s="146" t="str">
        <f>_xlfn.IFNA(IF(OR(INDEX(Producer!$P:$P,MATCH($D192,Producer!$A:$A,0))="Intermediary Small HMO",INDEX(Producer!$P:$P,MATCH($D192,Producer!$A:$A,0))="Intermediary Large HMO"),"Only available","No"),"")</f>
        <v/>
      </c>
      <c r="CL192" s="146" t="str">
        <f t="shared" si="75"/>
        <v/>
      </c>
      <c r="CM192" s="146" t="str">
        <f t="shared" si="76"/>
        <v/>
      </c>
      <c r="CN192" s="146" t="str">
        <f t="shared" si="77"/>
        <v/>
      </c>
      <c r="CO192" s="146" t="str">
        <f t="shared" si="78"/>
        <v/>
      </c>
      <c r="CP192" s="146" t="str">
        <f t="shared" si="79"/>
        <v/>
      </c>
      <c r="CQ192" s="146" t="str">
        <f t="shared" si="80"/>
        <v/>
      </c>
      <c r="CR192" s="146" t="str">
        <f t="shared" si="81"/>
        <v/>
      </c>
      <c r="CS192" s="146" t="str">
        <f t="shared" si="82"/>
        <v/>
      </c>
      <c r="CT192" s="146" t="str">
        <f t="shared" si="83"/>
        <v/>
      </c>
      <c r="CU192" s="146"/>
    </row>
    <row r="193" spans="1:99" ht="16.399999999999999" customHeight="1" x14ac:dyDescent="0.35">
      <c r="A193" s="145" t="str">
        <f t="shared" si="56"/>
        <v/>
      </c>
      <c r="B193" s="145" t="str">
        <f>_xlfn.IFNA(_xlfn.CONCAT(INDEX(Producer!$P:$P,MATCH($D193,Producer!$A:$A,0))," ",IF(INDEX(Producer!$N:$N,MATCH($D193,Producer!$A:$A,0))="Yes","Green ",""),IF(AND(INDEX(Producer!$L:$L,MATCH($D193,Producer!$A:$A,0))="No",INDEX(Producer!$C:$C,MATCH($D193,Producer!$A:$A,0))="Fixed"),"Flexit ",""),INDEX(Producer!$B:$B,MATCH($D193,Producer!$A:$A,0))," Year ",INDEX(Producer!$C:$C,MATCH($D193,Producer!$A:$A,0))," ",VALUE(INDEX(Producer!$E:$E,MATCH($D193,Producer!$A:$A,0)))*100,"% LTV",IF(INDEX(Producer!$N:$N,MATCH($D193,Producer!$A:$A,0))="Yes"," (EPC A-C)","")," - ",IF(INDEX(Producer!$D:$D,MATCH($D193,Producer!$A:$A,0))="DLY","Daily","Annual")),"")</f>
        <v/>
      </c>
      <c r="C193" s="146" t="str">
        <f>_xlfn.IFNA(INDEX(Producer!$Q:$Q,MATCH($D193,Producer!$A:$A,0)),"")</f>
        <v/>
      </c>
      <c r="D193" s="146" t="str">
        <f>IFERROR(VALUE(MID(Producer!$R$2,IF($D192="",1/0,FIND(_xlfn.CONCAT($D191,$D192),Producer!$R$2)+10),5)),"")</f>
        <v/>
      </c>
      <c r="E193" s="146" t="str">
        <f t="shared" si="57"/>
        <v/>
      </c>
      <c r="F193" s="146"/>
      <c r="G193" s="147" t="str">
        <f>_xlfn.IFNA(VALUE(INDEX(Producer!$F:$F,MATCH($D193,Producer!$A:$A,0)))*100,"")</f>
        <v/>
      </c>
      <c r="H193" s="216" t="str">
        <f>_xlfn.IFNA(IFERROR(DATEVALUE(INDEX(Producer!$M:$M,MATCH($D193,Producer!$A:$A,0))),(INDEX(Producer!$M:$M,MATCH($D193,Producer!$A:$A,0)))),"")</f>
        <v/>
      </c>
      <c r="I193" s="217" t="str">
        <f>_xlfn.IFNA(VALUE(INDEX(Producer!$B:$B,MATCH($D193,Producer!$A:$A,0)))*12,"")</f>
        <v/>
      </c>
      <c r="J193" s="146" t="str">
        <f>_xlfn.IFNA(IF(C193="Residential",IF(VALUE(INDEX(Producer!$B:$B,MATCH($D193,Producer!$A:$A,0)))&lt;5,Constants!$C$10,""),IF(VALUE(INDEX(Producer!$B:$B,MATCH($D193,Producer!$A:$A,0)))&lt;5,Constants!$C$11,"")),"")</f>
        <v/>
      </c>
      <c r="K193" s="216" t="str">
        <f>_xlfn.IFNA(IF(($I193)&lt;60,DATE(YEAR(H193)+(5-VALUE(INDEX(Producer!$B:$B,MATCH($D193,Producer!$A:$A,0)))),MONTH(H193),DAY(H193)),""),"")</f>
        <v/>
      </c>
      <c r="L193" s="153" t="str">
        <f t="shared" si="58"/>
        <v/>
      </c>
      <c r="M193" s="146"/>
      <c r="N193" s="148"/>
      <c r="O193" s="148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6"/>
      <c r="AK193" s="146" t="str">
        <f>IF(D193="","",IF(C193="Residential",Constants!$B$10,Constants!$B$11))</f>
        <v/>
      </c>
      <c r="AL193" s="146" t="str">
        <f t="shared" si="59"/>
        <v/>
      </c>
      <c r="AM193" s="206" t="str">
        <f t="shared" si="60"/>
        <v/>
      </c>
      <c r="AN193" s="146" t="str">
        <f t="shared" si="61"/>
        <v/>
      </c>
      <c r="AO193" s="149" t="str">
        <f t="shared" si="62"/>
        <v/>
      </c>
      <c r="AP193" s="150" t="str">
        <f t="shared" si="63"/>
        <v/>
      </c>
      <c r="AQ193" s="146" t="str">
        <f>IFERROR(_xlfn.IFNA(IF($BA193="No",0,IF(INDEX(Constants!B:B,MATCH(($I193/12),Constants!$A:$A,0))=0,0,INDEX(Constants!B:B,MATCH(($I193/12),Constants!$A:$A,0)))),0),"")</f>
        <v/>
      </c>
      <c r="AR193" s="146" t="str">
        <f>IFERROR(_xlfn.IFNA(IF($BA193="No",0,IF(INDEX(Constants!C:C,MATCH(($I193/12),Constants!$A:$A,0))=0,0,INDEX(Constants!C:C,MATCH(($I193/12),Constants!$A:$A,0)))),0),"")</f>
        <v/>
      </c>
      <c r="AS193" s="146" t="str">
        <f>IFERROR(_xlfn.IFNA(IF($BA193="No",0,IF(INDEX(Constants!D:D,MATCH(($I193/12),Constants!$A:$A,0))=0,0,INDEX(Constants!D:D,MATCH(($I193/12),Constants!$A:$A,0)))),0),"")</f>
        <v/>
      </c>
      <c r="AT193" s="146" t="str">
        <f>IFERROR(_xlfn.IFNA(IF($BA193="No",0,IF(INDEX(Constants!E:E,MATCH(($I193/12),Constants!$A:$A,0))=0,0,INDEX(Constants!E:E,MATCH(($I193/12),Constants!$A:$A,0)))),0),"")</f>
        <v/>
      </c>
      <c r="AU193" s="146" t="str">
        <f>IFERROR(_xlfn.IFNA(IF($BA193="No",0,IF(INDEX(Constants!F:F,MATCH(($I193/12),Constants!$A:$A,0))=0,0,INDEX(Constants!F:F,MATCH(($I193/12),Constants!$A:$A,0)))),0),"")</f>
        <v/>
      </c>
      <c r="AV193" s="146" t="str">
        <f>IFERROR(_xlfn.IFNA(IF($BA193="No",0,IF(INDEX(Constants!G:G,MATCH(($I193/12),Constants!$A:$A,0))=0,0,INDEX(Constants!G:G,MATCH(($I193/12),Constants!$A:$A,0)))),0),"")</f>
        <v/>
      </c>
      <c r="AW193" s="146" t="str">
        <f>IFERROR(_xlfn.IFNA(IF($BA193="No",0,IF(INDEX(Constants!H:H,MATCH(($I193/12),Constants!$A:$A,0))=0,0,INDEX(Constants!H:H,MATCH(($I193/12),Constants!$A:$A,0)))),0),"")</f>
        <v/>
      </c>
      <c r="AX193" s="146" t="str">
        <f>IFERROR(_xlfn.IFNA(IF($BA193="No",0,IF(INDEX(Constants!I:I,MATCH(($I193/12),Constants!$A:$A,0))=0,0,INDEX(Constants!I:I,MATCH(($I193/12),Constants!$A:$A,0)))),0),"")</f>
        <v/>
      </c>
      <c r="AY193" s="146" t="str">
        <f>IFERROR(_xlfn.IFNA(IF($BA193="No",0,IF(INDEX(Constants!J:J,MATCH(($I193/12),Constants!$A:$A,0))=0,0,INDEX(Constants!J:J,MATCH(($I193/12),Constants!$A:$A,0)))),0),"")</f>
        <v/>
      </c>
      <c r="AZ193" s="146" t="str">
        <f>IFERROR(_xlfn.IFNA(IF($BA193="No",0,IF(INDEX(Constants!K:K,MATCH(($I193/12),Constants!$A:$A,0))=0,0,INDEX(Constants!K:K,MATCH(($I193/12),Constants!$A:$A,0)))),0),"")</f>
        <v/>
      </c>
      <c r="BA193" s="147" t="str">
        <f>_xlfn.IFNA(INDEX(Producer!$L:$L,MATCH($D193,Producer!$A:$A,0)),"")</f>
        <v/>
      </c>
      <c r="BB193" s="146" t="str">
        <f>IFERROR(IF(AQ193=0,"",IF(($I193/12)=15,_xlfn.CONCAT(Constants!$N$7,TEXT(DATE(YEAR(H193)-(($I193/12)-3),MONTH(H193),DAY(H193)),"dd/mm/yyyy"),", ",Constants!$P$7,TEXT(DATE(YEAR(H193)-(($I193/12)-8),MONTH(H193),DAY(H193)),"dd/mm/yyyy"),", ",Constants!$T$7,TEXT(DATE(YEAR(H193)-(($I193/12)-11),MONTH(H193),DAY(H193)),"dd/mm/yyyy"),", ",Constants!$V$7,TEXT(DATE(YEAR(H193)-(($I193/12)-13),MONTH(H193),DAY(H193)),"dd/mm/yyyy"),", ",Constants!$W$7,TEXT($H193,"dd/mm/yyyy")),IF(($I193/12)=10,_xlfn.CONCAT(Constants!$N$6,TEXT(DATE(YEAR(H193)-(($I193/12)-2),MONTH(H193),DAY(H193)),"dd/mm/yyyy"),", ",Constants!$P$6,TEXT(DATE(YEAR(H193)-(($I193/12)-6),MONTH(H193),DAY(H193)),"dd/mm/yyyy"),", ",Constants!$T$6,TEXT(DATE(YEAR(H193)-(($I193/12)-8),MONTH(H193),DAY(H193)),"dd/mm/yyyy"),", ",Constants!$V$6,TEXT(DATE(YEAR(H193)-(($I193/12)-9),MONTH(H193),DAY(H193)),"dd/mm/yyyy"),", ",Constants!$W$6,TEXT($H193,"dd/mm/yyyy")),IF(($I193/12)=5,_xlfn.CONCAT(Constants!$N$5,TEXT(DATE(YEAR(H193)-(($I193/12)-1),MONTH(H193),DAY(H193)),"dd/mm/yyyy"),", ",Constants!$O$5,TEXT(DATE(YEAR(H193)-(($I193/12)-2),MONTH(H193),DAY(H193)),"dd/mm/yyyy"),", ",Constants!$P$5,TEXT(DATE(YEAR(H193)-(($I193/12)-3),MONTH(H193),DAY(H193)),"dd/mm/yyyy"),", ",Constants!$Q$5,TEXT(DATE(YEAR(H193)-(($I193/12)-4),MONTH(H193),DAY(H193)),"dd/mm/yyyy"),", ",Constants!$R$5,TEXT($H193,"dd/mm/yyyy")),IF(($I193/12)=3,_xlfn.CONCAT(Constants!$N$4,TEXT(DATE(YEAR(H193)-(($I193/12)-1),MONTH(H193),DAY(H193)),"dd/mm/yyyy"),", ",Constants!$O$4,TEXT(DATE(YEAR(H193)-(($I193/12)-2),MONTH(H193),DAY(H193)),"dd/mm/yyyy"),", ",Constants!$P$4,TEXT($H193,"dd/mm/yyyy")),IF(($I193/12)=2,_xlfn.CONCAT(Constants!$N$3,TEXT(DATE(YEAR(H193)-(($I193/12)-1),MONTH(H193),DAY(H193)),"dd/mm/yyyy"),", ",Constants!$O$3,TEXT($H193,"dd/mm/yyyy")),IF(($I193/12)=1,_xlfn.CONCAT(Constants!$N$2,TEXT($H193,"dd/mm/yyyy")),"Update Constants"))))))),"")</f>
        <v/>
      </c>
      <c r="BC193" s="147" t="str">
        <f>_xlfn.IFNA(VALUE(INDEX(Producer!$K:$K,MATCH($D193,Producer!$A:$A,0))),"")</f>
        <v/>
      </c>
      <c r="BD193" s="147" t="str">
        <f>_xlfn.IFNA(INDEX(Producer!$I:$I,MATCH($D193,Producer!$A:$A,0)),"")</f>
        <v/>
      </c>
      <c r="BE193" s="147" t="str">
        <f t="shared" si="64"/>
        <v/>
      </c>
      <c r="BF193" s="147"/>
      <c r="BG193" s="147"/>
      <c r="BH193" s="151" t="str">
        <f>_xlfn.IFNA(INDEX(Constants!$B:$B,MATCH(BC193,Constants!A:A,0)),"")</f>
        <v/>
      </c>
      <c r="BI193" s="147" t="str">
        <f>IF(LEFT(B193,15)="Limited Company",Constants!$D$16,IFERROR(_xlfn.IFNA(IF(C193="Residential",IF(BK193&lt;75,INDEX(Constants!$B:$B,MATCH(VALUE(60)/100,Constants!$A:$A,0)),INDEX(Constants!$B:$B,MATCH(VALUE(BK193)/100,Constants!$A:$A,0))),IF(BK193&lt;60,INDEX(Constants!$C:$C,MATCH(VALUE(60)/100,Constants!$A:$A,0)),INDEX(Constants!$C:$C,MATCH(VALUE(BK193)/100,Constants!$A:$A,0)))),""),""))</f>
        <v/>
      </c>
      <c r="BJ193" s="147" t="str">
        <f t="shared" si="65"/>
        <v/>
      </c>
      <c r="BK193" s="147" t="str">
        <f>_xlfn.IFNA(VALUE(INDEX(Producer!$E:$E,MATCH($D193,Producer!$A:$A,0)))*100,"")</f>
        <v/>
      </c>
      <c r="BL193" s="146" t="str">
        <f>_xlfn.IFNA(IF(IFERROR(FIND("Part &amp; Part",B193),-10)&gt;0,"PP",IF(OR(LEFT(B193,25)="Residential Interest Only",INDEX(Producer!$P:$P,MATCH($D193,Producer!$A:$A,0))="IO",INDEX(Producer!$P:$P,MATCH($D193,Producer!$A:$A,0))="Retirement Interest Only"),"IO",IF($C193="BuyToLet","CI, IO","CI"))),"")</f>
        <v/>
      </c>
      <c r="BM193" s="152" t="str">
        <f>_xlfn.IFNA(IF(BL193="IO",100%,IF(AND(INDEX(Producer!$P:$P,MATCH($D193,Producer!$A:$A,0))="Residential Interest Only Part &amp; Part",BK193=75),80%,IF(C193="BuyToLet",100%,IF(BL193="Interest Only",100%,IF(AND(INDEX(Producer!$P:$P,MATCH($D193,Producer!$A:$A,0))="Residential Interest Only Part &amp; Part",BK193=60),100%,""))))),"")</f>
        <v/>
      </c>
      <c r="BN193" s="218" t="str">
        <f>_xlfn.IFNA(IF(VALUE(INDEX(Producer!$H:$H,MATCH($D193,Producer!$A:$A,0)))=0,"",VALUE(INDEX(Producer!$H:$H,MATCH($D193,Producer!$A:$A,0)))),"")</f>
        <v/>
      </c>
      <c r="BO193" s="153"/>
      <c r="BP193" s="153"/>
      <c r="BQ193" s="219" t="str">
        <f t="shared" si="66"/>
        <v/>
      </c>
      <c r="BR193" s="146"/>
      <c r="BS193" s="146"/>
      <c r="BT193" s="146"/>
      <c r="BU193" s="146"/>
      <c r="BV193" s="219" t="str">
        <f t="shared" si="67"/>
        <v/>
      </c>
      <c r="BW193" s="146"/>
      <c r="BX193" s="146"/>
      <c r="BY193" s="146" t="str">
        <f t="shared" si="68"/>
        <v/>
      </c>
      <c r="BZ193" s="146" t="str">
        <f t="shared" si="69"/>
        <v/>
      </c>
      <c r="CA193" s="146" t="str">
        <f t="shared" si="70"/>
        <v/>
      </c>
      <c r="CB193" s="146" t="str">
        <f t="shared" si="71"/>
        <v/>
      </c>
      <c r="CC193" s="146" t="str">
        <f>_xlfn.IFNA(IF(INDEX(Producer!$P:$P,MATCH($D193,Producer!$A:$A,0))="Help to Buy","Only available","No"),"")</f>
        <v/>
      </c>
      <c r="CD193" s="146" t="str">
        <f>_xlfn.IFNA(IF(INDEX(Producer!$P:$P,MATCH($D193,Producer!$A:$A,0))="Shared Ownership","Only available","No"),"")</f>
        <v/>
      </c>
      <c r="CE193" s="146" t="str">
        <f>_xlfn.IFNA(IF(INDEX(Producer!$P:$P,MATCH($D193,Producer!$A:$A,0))="Right to Buy","Only available","No"),"")</f>
        <v/>
      </c>
      <c r="CF193" s="146" t="str">
        <f t="shared" si="72"/>
        <v/>
      </c>
      <c r="CG193" s="146" t="str">
        <f>_xlfn.IFNA(IF(INDEX(Producer!$P:$P,MATCH($D193,Producer!$A:$A,0))="Retirement Interest Only","Only available","No"),"")</f>
        <v/>
      </c>
      <c r="CH193" s="146" t="str">
        <f t="shared" si="73"/>
        <v/>
      </c>
      <c r="CI193" s="146" t="str">
        <f>_xlfn.IFNA(IF(INDEX(Producer!$P:$P,MATCH($D193,Producer!$A:$A,0))="Intermediary Holiday Let","Only available","No"),"")</f>
        <v/>
      </c>
      <c r="CJ193" s="146" t="str">
        <f t="shared" si="74"/>
        <v/>
      </c>
      <c r="CK193" s="146" t="str">
        <f>_xlfn.IFNA(IF(OR(INDEX(Producer!$P:$P,MATCH($D193,Producer!$A:$A,0))="Intermediary Small HMO",INDEX(Producer!$P:$P,MATCH($D193,Producer!$A:$A,0))="Intermediary Large HMO"),"Only available","No"),"")</f>
        <v/>
      </c>
      <c r="CL193" s="146" t="str">
        <f t="shared" si="75"/>
        <v/>
      </c>
      <c r="CM193" s="146" t="str">
        <f t="shared" si="76"/>
        <v/>
      </c>
      <c r="CN193" s="146" t="str">
        <f t="shared" si="77"/>
        <v/>
      </c>
      <c r="CO193" s="146" t="str">
        <f t="shared" si="78"/>
        <v/>
      </c>
      <c r="CP193" s="146" t="str">
        <f t="shared" si="79"/>
        <v/>
      </c>
      <c r="CQ193" s="146" t="str">
        <f t="shared" si="80"/>
        <v/>
      </c>
      <c r="CR193" s="146" t="str">
        <f t="shared" si="81"/>
        <v/>
      </c>
      <c r="CS193" s="146" t="str">
        <f t="shared" si="82"/>
        <v/>
      </c>
      <c r="CT193" s="146" t="str">
        <f t="shared" si="83"/>
        <v/>
      </c>
      <c r="CU193" s="146"/>
    </row>
    <row r="194" spans="1:99" ht="16.399999999999999" customHeight="1" x14ac:dyDescent="0.35">
      <c r="A194" s="145" t="str">
        <f t="shared" si="56"/>
        <v/>
      </c>
      <c r="B194" s="145" t="str">
        <f>_xlfn.IFNA(_xlfn.CONCAT(INDEX(Producer!$P:$P,MATCH($D194,Producer!$A:$A,0))," ",IF(INDEX(Producer!$N:$N,MATCH($D194,Producer!$A:$A,0))="Yes","Green ",""),IF(AND(INDEX(Producer!$L:$L,MATCH($D194,Producer!$A:$A,0))="No",INDEX(Producer!$C:$C,MATCH($D194,Producer!$A:$A,0))="Fixed"),"Flexit ",""),INDEX(Producer!$B:$B,MATCH($D194,Producer!$A:$A,0))," Year ",INDEX(Producer!$C:$C,MATCH($D194,Producer!$A:$A,0))," ",VALUE(INDEX(Producer!$E:$E,MATCH($D194,Producer!$A:$A,0)))*100,"% LTV",IF(INDEX(Producer!$N:$N,MATCH($D194,Producer!$A:$A,0))="Yes"," (EPC A-C)","")," - ",IF(INDEX(Producer!$D:$D,MATCH($D194,Producer!$A:$A,0))="DLY","Daily","Annual")),"")</f>
        <v/>
      </c>
      <c r="C194" s="146" t="str">
        <f>_xlfn.IFNA(INDEX(Producer!$Q:$Q,MATCH($D194,Producer!$A:$A,0)),"")</f>
        <v/>
      </c>
      <c r="D194" s="146" t="str">
        <f>IFERROR(VALUE(MID(Producer!$R$2,IF($D193="",1/0,FIND(_xlfn.CONCAT($D192,$D193),Producer!$R$2)+10),5)),"")</f>
        <v/>
      </c>
      <c r="E194" s="146" t="str">
        <f t="shared" si="57"/>
        <v/>
      </c>
      <c r="F194" s="146"/>
      <c r="G194" s="147" t="str">
        <f>_xlfn.IFNA(VALUE(INDEX(Producer!$F:$F,MATCH($D194,Producer!$A:$A,0)))*100,"")</f>
        <v/>
      </c>
      <c r="H194" s="216" t="str">
        <f>_xlfn.IFNA(IFERROR(DATEVALUE(INDEX(Producer!$M:$M,MATCH($D194,Producer!$A:$A,0))),(INDEX(Producer!$M:$M,MATCH($D194,Producer!$A:$A,0)))),"")</f>
        <v/>
      </c>
      <c r="I194" s="217" t="str">
        <f>_xlfn.IFNA(VALUE(INDEX(Producer!$B:$B,MATCH($D194,Producer!$A:$A,0)))*12,"")</f>
        <v/>
      </c>
      <c r="J194" s="146" t="str">
        <f>_xlfn.IFNA(IF(C194="Residential",IF(VALUE(INDEX(Producer!$B:$B,MATCH($D194,Producer!$A:$A,0)))&lt;5,Constants!$C$10,""),IF(VALUE(INDEX(Producer!$B:$B,MATCH($D194,Producer!$A:$A,0)))&lt;5,Constants!$C$11,"")),"")</f>
        <v/>
      </c>
      <c r="K194" s="216" t="str">
        <f>_xlfn.IFNA(IF(($I194)&lt;60,DATE(YEAR(H194)+(5-VALUE(INDEX(Producer!$B:$B,MATCH($D194,Producer!$A:$A,0)))),MONTH(H194),DAY(H194)),""),"")</f>
        <v/>
      </c>
      <c r="L194" s="153" t="str">
        <f t="shared" si="58"/>
        <v/>
      </c>
      <c r="M194" s="146"/>
      <c r="N194" s="148"/>
      <c r="O194" s="148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6"/>
      <c r="AK194" s="146" t="str">
        <f>IF(D194="","",IF(C194="Residential",Constants!$B$10,Constants!$B$11))</f>
        <v/>
      </c>
      <c r="AL194" s="146" t="str">
        <f t="shared" si="59"/>
        <v/>
      </c>
      <c r="AM194" s="206" t="str">
        <f t="shared" si="60"/>
        <v/>
      </c>
      <c r="AN194" s="146" t="str">
        <f t="shared" si="61"/>
        <v/>
      </c>
      <c r="AO194" s="149" t="str">
        <f t="shared" si="62"/>
        <v/>
      </c>
      <c r="AP194" s="150" t="str">
        <f t="shared" si="63"/>
        <v/>
      </c>
      <c r="AQ194" s="146" t="str">
        <f>IFERROR(_xlfn.IFNA(IF($BA194="No",0,IF(INDEX(Constants!B:B,MATCH(($I194/12),Constants!$A:$A,0))=0,0,INDEX(Constants!B:B,MATCH(($I194/12),Constants!$A:$A,0)))),0),"")</f>
        <v/>
      </c>
      <c r="AR194" s="146" t="str">
        <f>IFERROR(_xlfn.IFNA(IF($BA194="No",0,IF(INDEX(Constants!C:C,MATCH(($I194/12),Constants!$A:$A,0))=0,0,INDEX(Constants!C:C,MATCH(($I194/12),Constants!$A:$A,0)))),0),"")</f>
        <v/>
      </c>
      <c r="AS194" s="146" t="str">
        <f>IFERROR(_xlfn.IFNA(IF($BA194="No",0,IF(INDEX(Constants!D:D,MATCH(($I194/12),Constants!$A:$A,0))=0,0,INDEX(Constants!D:D,MATCH(($I194/12),Constants!$A:$A,0)))),0),"")</f>
        <v/>
      </c>
      <c r="AT194" s="146" t="str">
        <f>IFERROR(_xlfn.IFNA(IF($BA194="No",0,IF(INDEX(Constants!E:E,MATCH(($I194/12),Constants!$A:$A,0))=0,0,INDEX(Constants!E:E,MATCH(($I194/12),Constants!$A:$A,0)))),0),"")</f>
        <v/>
      </c>
      <c r="AU194" s="146" t="str">
        <f>IFERROR(_xlfn.IFNA(IF($BA194="No",0,IF(INDEX(Constants!F:F,MATCH(($I194/12),Constants!$A:$A,0))=0,0,INDEX(Constants!F:F,MATCH(($I194/12),Constants!$A:$A,0)))),0),"")</f>
        <v/>
      </c>
      <c r="AV194" s="146" t="str">
        <f>IFERROR(_xlfn.IFNA(IF($BA194="No",0,IF(INDEX(Constants!G:G,MATCH(($I194/12),Constants!$A:$A,0))=0,0,INDEX(Constants!G:G,MATCH(($I194/12),Constants!$A:$A,0)))),0),"")</f>
        <v/>
      </c>
      <c r="AW194" s="146" t="str">
        <f>IFERROR(_xlfn.IFNA(IF($BA194="No",0,IF(INDEX(Constants!H:H,MATCH(($I194/12),Constants!$A:$A,0))=0,0,INDEX(Constants!H:H,MATCH(($I194/12),Constants!$A:$A,0)))),0),"")</f>
        <v/>
      </c>
      <c r="AX194" s="146" t="str">
        <f>IFERROR(_xlfn.IFNA(IF($BA194="No",0,IF(INDEX(Constants!I:I,MATCH(($I194/12),Constants!$A:$A,0))=0,0,INDEX(Constants!I:I,MATCH(($I194/12),Constants!$A:$A,0)))),0),"")</f>
        <v/>
      </c>
      <c r="AY194" s="146" t="str">
        <f>IFERROR(_xlfn.IFNA(IF($BA194="No",0,IF(INDEX(Constants!J:J,MATCH(($I194/12),Constants!$A:$A,0))=0,0,INDEX(Constants!J:J,MATCH(($I194/12),Constants!$A:$A,0)))),0),"")</f>
        <v/>
      </c>
      <c r="AZ194" s="146" t="str">
        <f>IFERROR(_xlfn.IFNA(IF($BA194="No",0,IF(INDEX(Constants!K:K,MATCH(($I194/12),Constants!$A:$A,0))=0,0,INDEX(Constants!K:K,MATCH(($I194/12),Constants!$A:$A,0)))),0),"")</f>
        <v/>
      </c>
      <c r="BA194" s="147" t="str">
        <f>_xlfn.IFNA(INDEX(Producer!$L:$L,MATCH($D194,Producer!$A:$A,0)),"")</f>
        <v/>
      </c>
      <c r="BB194" s="146" t="str">
        <f>IFERROR(IF(AQ194=0,"",IF(($I194/12)=15,_xlfn.CONCAT(Constants!$N$7,TEXT(DATE(YEAR(H194)-(($I194/12)-3),MONTH(H194),DAY(H194)),"dd/mm/yyyy"),", ",Constants!$P$7,TEXT(DATE(YEAR(H194)-(($I194/12)-8),MONTH(H194),DAY(H194)),"dd/mm/yyyy"),", ",Constants!$T$7,TEXT(DATE(YEAR(H194)-(($I194/12)-11),MONTH(H194),DAY(H194)),"dd/mm/yyyy"),", ",Constants!$V$7,TEXT(DATE(YEAR(H194)-(($I194/12)-13),MONTH(H194),DAY(H194)),"dd/mm/yyyy"),", ",Constants!$W$7,TEXT($H194,"dd/mm/yyyy")),IF(($I194/12)=10,_xlfn.CONCAT(Constants!$N$6,TEXT(DATE(YEAR(H194)-(($I194/12)-2),MONTH(H194),DAY(H194)),"dd/mm/yyyy"),", ",Constants!$P$6,TEXT(DATE(YEAR(H194)-(($I194/12)-6),MONTH(H194),DAY(H194)),"dd/mm/yyyy"),", ",Constants!$T$6,TEXT(DATE(YEAR(H194)-(($I194/12)-8),MONTH(H194),DAY(H194)),"dd/mm/yyyy"),", ",Constants!$V$6,TEXT(DATE(YEAR(H194)-(($I194/12)-9),MONTH(H194),DAY(H194)),"dd/mm/yyyy"),", ",Constants!$W$6,TEXT($H194,"dd/mm/yyyy")),IF(($I194/12)=5,_xlfn.CONCAT(Constants!$N$5,TEXT(DATE(YEAR(H194)-(($I194/12)-1),MONTH(H194),DAY(H194)),"dd/mm/yyyy"),", ",Constants!$O$5,TEXT(DATE(YEAR(H194)-(($I194/12)-2),MONTH(H194),DAY(H194)),"dd/mm/yyyy"),", ",Constants!$P$5,TEXT(DATE(YEAR(H194)-(($I194/12)-3),MONTH(H194),DAY(H194)),"dd/mm/yyyy"),", ",Constants!$Q$5,TEXT(DATE(YEAR(H194)-(($I194/12)-4),MONTH(H194),DAY(H194)),"dd/mm/yyyy"),", ",Constants!$R$5,TEXT($H194,"dd/mm/yyyy")),IF(($I194/12)=3,_xlfn.CONCAT(Constants!$N$4,TEXT(DATE(YEAR(H194)-(($I194/12)-1),MONTH(H194),DAY(H194)),"dd/mm/yyyy"),", ",Constants!$O$4,TEXT(DATE(YEAR(H194)-(($I194/12)-2),MONTH(H194),DAY(H194)),"dd/mm/yyyy"),", ",Constants!$P$4,TEXT($H194,"dd/mm/yyyy")),IF(($I194/12)=2,_xlfn.CONCAT(Constants!$N$3,TEXT(DATE(YEAR(H194)-(($I194/12)-1),MONTH(H194),DAY(H194)),"dd/mm/yyyy"),", ",Constants!$O$3,TEXT($H194,"dd/mm/yyyy")),IF(($I194/12)=1,_xlfn.CONCAT(Constants!$N$2,TEXT($H194,"dd/mm/yyyy")),"Update Constants"))))))),"")</f>
        <v/>
      </c>
      <c r="BC194" s="147" t="str">
        <f>_xlfn.IFNA(VALUE(INDEX(Producer!$K:$K,MATCH($D194,Producer!$A:$A,0))),"")</f>
        <v/>
      </c>
      <c r="BD194" s="147" t="str">
        <f>_xlfn.IFNA(INDEX(Producer!$I:$I,MATCH($D194,Producer!$A:$A,0)),"")</f>
        <v/>
      </c>
      <c r="BE194" s="147" t="str">
        <f t="shared" si="64"/>
        <v/>
      </c>
      <c r="BF194" s="147"/>
      <c r="BG194" s="147"/>
      <c r="BH194" s="151" t="str">
        <f>_xlfn.IFNA(INDEX(Constants!$B:$B,MATCH(BC194,Constants!A:A,0)),"")</f>
        <v/>
      </c>
      <c r="BI194" s="147" t="str">
        <f>IF(LEFT(B194,15)="Limited Company",Constants!$D$16,IFERROR(_xlfn.IFNA(IF(C194="Residential",IF(BK194&lt;75,INDEX(Constants!$B:$B,MATCH(VALUE(60)/100,Constants!$A:$A,0)),INDEX(Constants!$B:$B,MATCH(VALUE(BK194)/100,Constants!$A:$A,0))),IF(BK194&lt;60,INDEX(Constants!$C:$C,MATCH(VALUE(60)/100,Constants!$A:$A,0)),INDEX(Constants!$C:$C,MATCH(VALUE(BK194)/100,Constants!$A:$A,0)))),""),""))</f>
        <v/>
      </c>
      <c r="BJ194" s="147" t="str">
        <f t="shared" si="65"/>
        <v/>
      </c>
      <c r="BK194" s="147" t="str">
        <f>_xlfn.IFNA(VALUE(INDEX(Producer!$E:$E,MATCH($D194,Producer!$A:$A,0)))*100,"")</f>
        <v/>
      </c>
      <c r="BL194" s="146" t="str">
        <f>_xlfn.IFNA(IF(IFERROR(FIND("Part &amp; Part",B194),-10)&gt;0,"PP",IF(OR(LEFT(B194,25)="Residential Interest Only",INDEX(Producer!$P:$P,MATCH($D194,Producer!$A:$A,0))="IO",INDEX(Producer!$P:$P,MATCH($D194,Producer!$A:$A,0))="Retirement Interest Only"),"IO",IF($C194="BuyToLet","CI, IO","CI"))),"")</f>
        <v/>
      </c>
      <c r="BM194" s="152" t="str">
        <f>_xlfn.IFNA(IF(BL194="IO",100%,IF(AND(INDEX(Producer!$P:$P,MATCH($D194,Producer!$A:$A,0))="Residential Interest Only Part &amp; Part",BK194=75),80%,IF(C194="BuyToLet",100%,IF(BL194="Interest Only",100%,IF(AND(INDEX(Producer!$P:$P,MATCH($D194,Producer!$A:$A,0))="Residential Interest Only Part &amp; Part",BK194=60),100%,""))))),"")</f>
        <v/>
      </c>
      <c r="BN194" s="218" t="str">
        <f>_xlfn.IFNA(IF(VALUE(INDEX(Producer!$H:$H,MATCH($D194,Producer!$A:$A,0)))=0,"",VALUE(INDEX(Producer!$H:$H,MATCH($D194,Producer!$A:$A,0)))),"")</f>
        <v/>
      </c>
      <c r="BO194" s="153"/>
      <c r="BP194" s="153"/>
      <c r="BQ194" s="219" t="str">
        <f t="shared" si="66"/>
        <v/>
      </c>
      <c r="BR194" s="146"/>
      <c r="BS194" s="146"/>
      <c r="BT194" s="146"/>
      <c r="BU194" s="146"/>
      <c r="BV194" s="219" t="str">
        <f t="shared" si="67"/>
        <v/>
      </c>
      <c r="BW194" s="146"/>
      <c r="BX194" s="146"/>
      <c r="BY194" s="146" t="str">
        <f t="shared" si="68"/>
        <v/>
      </c>
      <c r="BZ194" s="146" t="str">
        <f t="shared" si="69"/>
        <v/>
      </c>
      <c r="CA194" s="146" t="str">
        <f t="shared" si="70"/>
        <v/>
      </c>
      <c r="CB194" s="146" t="str">
        <f t="shared" si="71"/>
        <v/>
      </c>
      <c r="CC194" s="146" t="str">
        <f>_xlfn.IFNA(IF(INDEX(Producer!$P:$P,MATCH($D194,Producer!$A:$A,0))="Help to Buy","Only available","No"),"")</f>
        <v/>
      </c>
      <c r="CD194" s="146" t="str">
        <f>_xlfn.IFNA(IF(INDEX(Producer!$P:$P,MATCH($D194,Producer!$A:$A,0))="Shared Ownership","Only available","No"),"")</f>
        <v/>
      </c>
      <c r="CE194" s="146" t="str">
        <f>_xlfn.IFNA(IF(INDEX(Producer!$P:$P,MATCH($D194,Producer!$A:$A,0))="Right to Buy","Only available","No"),"")</f>
        <v/>
      </c>
      <c r="CF194" s="146" t="str">
        <f t="shared" si="72"/>
        <v/>
      </c>
      <c r="CG194" s="146" t="str">
        <f>_xlfn.IFNA(IF(INDEX(Producer!$P:$P,MATCH($D194,Producer!$A:$A,0))="Retirement Interest Only","Only available","No"),"")</f>
        <v/>
      </c>
      <c r="CH194" s="146" t="str">
        <f t="shared" si="73"/>
        <v/>
      </c>
      <c r="CI194" s="146" t="str">
        <f>_xlfn.IFNA(IF(INDEX(Producer!$P:$P,MATCH($D194,Producer!$A:$A,0))="Intermediary Holiday Let","Only available","No"),"")</f>
        <v/>
      </c>
      <c r="CJ194" s="146" t="str">
        <f t="shared" si="74"/>
        <v/>
      </c>
      <c r="CK194" s="146" t="str">
        <f>_xlfn.IFNA(IF(OR(INDEX(Producer!$P:$P,MATCH($D194,Producer!$A:$A,0))="Intermediary Small HMO",INDEX(Producer!$P:$P,MATCH($D194,Producer!$A:$A,0))="Intermediary Large HMO"),"Only available","No"),"")</f>
        <v/>
      </c>
      <c r="CL194" s="146" t="str">
        <f t="shared" si="75"/>
        <v/>
      </c>
      <c r="CM194" s="146" t="str">
        <f t="shared" si="76"/>
        <v/>
      </c>
      <c r="CN194" s="146" t="str">
        <f t="shared" si="77"/>
        <v/>
      </c>
      <c r="CO194" s="146" t="str">
        <f t="shared" si="78"/>
        <v/>
      </c>
      <c r="CP194" s="146" t="str">
        <f t="shared" si="79"/>
        <v/>
      </c>
      <c r="CQ194" s="146" t="str">
        <f t="shared" si="80"/>
        <v/>
      </c>
      <c r="CR194" s="146" t="str">
        <f t="shared" si="81"/>
        <v/>
      </c>
      <c r="CS194" s="146" t="str">
        <f t="shared" si="82"/>
        <v/>
      </c>
      <c r="CT194" s="146" t="str">
        <f t="shared" si="83"/>
        <v/>
      </c>
      <c r="CU194" s="146"/>
    </row>
    <row r="195" spans="1:99" ht="16.399999999999999" customHeight="1" x14ac:dyDescent="0.35">
      <c r="A195" s="145" t="str">
        <f t="shared" ref="A195:A258" si="84">IF(B195="","","Leeds Building Society")</f>
        <v/>
      </c>
      <c r="B195" s="145" t="str">
        <f>_xlfn.IFNA(_xlfn.CONCAT(INDEX(Producer!$P:$P,MATCH($D195,Producer!$A:$A,0))," ",IF(INDEX(Producer!$N:$N,MATCH($D195,Producer!$A:$A,0))="Yes","Green ",""),IF(AND(INDEX(Producer!$L:$L,MATCH($D195,Producer!$A:$A,0))="No",INDEX(Producer!$C:$C,MATCH($D195,Producer!$A:$A,0))="Fixed"),"Flexit ",""),INDEX(Producer!$B:$B,MATCH($D195,Producer!$A:$A,0))," Year ",INDEX(Producer!$C:$C,MATCH($D195,Producer!$A:$A,0))," ",VALUE(INDEX(Producer!$E:$E,MATCH($D195,Producer!$A:$A,0)))*100,"% LTV",IF(INDEX(Producer!$N:$N,MATCH($D195,Producer!$A:$A,0))="Yes"," (EPC A-C)","")," - ",IF(INDEX(Producer!$D:$D,MATCH($D195,Producer!$A:$A,0))="DLY","Daily","Annual")),"")</f>
        <v/>
      </c>
      <c r="C195" s="146" t="str">
        <f>_xlfn.IFNA(INDEX(Producer!$Q:$Q,MATCH($D195,Producer!$A:$A,0)),"")</f>
        <v/>
      </c>
      <c r="D195" s="146" t="str">
        <f>IFERROR(VALUE(MID(Producer!$R$2,IF($D194="",1/0,FIND(_xlfn.CONCAT($D193,$D194),Producer!$R$2)+10),5)),"")</f>
        <v/>
      </c>
      <c r="E195" s="146" t="str">
        <f t="shared" ref="E195:E258" si="85">IF(D195="","",IF(IFERROR(FIND("Tracker",B195),-1)&gt;0,"Tracker",IF(J195="","Fixed","Stepped Fixed")))</f>
        <v/>
      </c>
      <c r="F195" s="146"/>
      <c r="G195" s="147" t="str">
        <f>_xlfn.IFNA(VALUE(INDEX(Producer!$F:$F,MATCH($D195,Producer!$A:$A,0)))*100,"")</f>
        <v/>
      </c>
      <c r="H195" s="216" t="str">
        <f>_xlfn.IFNA(IFERROR(DATEVALUE(INDEX(Producer!$M:$M,MATCH($D195,Producer!$A:$A,0))),(INDEX(Producer!$M:$M,MATCH($D195,Producer!$A:$A,0)))),"")</f>
        <v/>
      </c>
      <c r="I195" s="217" t="str">
        <f>_xlfn.IFNA(VALUE(INDEX(Producer!$B:$B,MATCH($D195,Producer!$A:$A,0)))*12,"")</f>
        <v/>
      </c>
      <c r="J195" s="146" t="str">
        <f>_xlfn.IFNA(IF(C195="Residential",IF(VALUE(INDEX(Producer!$B:$B,MATCH($D195,Producer!$A:$A,0)))&lt;5,Constants!$C$10,""),IF(VALUE(INDEX(Producer!$B:$B,MATCH($D195,Producer!$A:$A,0)))&lt;5,Constants!$C$11,"")),"")</f>
        <v/>
      </c>
      <c r="K195" s="216" t="str">
        <f>_xlfn.IFNA(IF(($I195)&lt;60,DATE(YEAR(H195)+(5-VALUE(INDEX(Producer!$B:$B,MATCH($D195,Producer!$A:$A,0)))),MONTH(H195),DAY(H195)),""),"")</f>
        <v/>
      </c>
      <c r="L195" s="153" t="str">
        <f t="shared" ref="L195:L258" si="86">IFERROR(ROUNDDOWN(VALUE((K195-H195)/365)*12,0),"")</f>
        <v/>
      </c>
      <c r="M195" s="146"/>
      <c r="N195" s="148"/>
      <c r="O195" s="148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46" t="str">
        <f>IF(D195="","",IF(C195="Residential",Constants!$B$10,Constants!$B$11))</f>
        <v/>
      </c>
      <c r="AL195" s="146" t="str">
        <f t="shared" ref="AL195:AL258" si="87">IF(D195="","",IF(C195="Residential","SVR","BVR"))</f>
        <v/>
      </c>
      <c r="AM195" s="206" t="str">
        <f t="shared" ref="AM195:AM258" si="88">IF(E195="Tracker",0%,"")</f>
        <v/>
      </c>
      <c r="AN195" s="146" t="str">
        <f t="shared" ref="AN195:AN258" si="89">IF(D195="","",IFERROR(IF(AQ195="","",10),10))</f>
        <v/>
      </c>
      <c r="AO195" s="149" t="str">
        <f t="shared" ref="AO195:AO258" si="90">IF(A195="","","Remortgage")</f>
        <v/>
      </c>
      <c r="AP195" s="150" t="str">
        <f t="shared" ref="AP195:AP258" si="91">IF(D195="","","ProductTransfer")</f>
        <v/>
      </c>
      <c r="AQ195" s="146" t="str">
        <f>IFERROR(_xlfn.IFNA(IF($BA195="No",0,IF(INDEX(Constants!B:B,MATCH(($I195/12),Constants!$A:$A,0))=0,0,INDEX(Constants!B:B,MATCH(($I195/12),Constants!$A:$A,0)))),0),"")</f>
        <v/>
      </c>
      <c r="AR195" s="146" t="str">
        <f>IFERROR(_xlfn.IFNA(IF($BA195="No",0,IF(INDEX(Constants!C:C,MATCH(($I195/12),Constants!$A:$A,0))=0,0,INDEX(Constants!C:C,MATCH(($I195/12),Constants!$A:$A,0)))),0),"")</f>
        <v/>
      </c>
      <c r="AS195" s="146" t="str">
        <f>IFERROR(_xlfn.IFNA(IF($BA195="No",0,IF(INDEX(Constants!D:D,MATCH(($I195/12),Constants!$A:$A,0))=0,0,INDEX(Constants!D:D,MATCH(($I195/12),Constants!$A:$A,0)))),0),"")</f>
        <v/>
      </c>
      <c r="AT195" s="146" t="str">
        <f>IFERROR(_xlfn.IFNA(IF($BA195="No",0,IF(INDEX(Constants!E:E,MATCH(($I195/12),Constants!$A:$A,0))=0,0,INDEX(Constants!E:E,MATCH(($I195/12),Constants!$A:$A,0)))),0),"")</f>
        <v/>
      </c>
      <c r="AU195" s="146" t="str">
        <f>IFERROR(_xlfn.IFNA(IF($BA195="No",0,IF(INDEX(Constants!F:F,MATCH(($I195/12),Constants!$A:$A,0))=0,0,INDEX(Constants!F:F,MATCH(($I195/12),Constants!$A:$A,0)))),0),"")</f>
        <v/>
      </c>
      <c r="AV195" s="146" t="str">
        <f>IFERROR(_xlfn.IFNA(IF($BA195="No",0,IF(INDEX(Constants!G:G,MATCH(($I195/12),Constants!$A:$A,0))=0,0,INDEX(Constants!G:G,MATCH(($I195/12),Constants!$A:$A,0)))),0),"")</f>
        <v/>
      </c>
      <c r="AW195" s="146" t="str">
        <f>IFERROR(_xlfn.IFNA(IF($BA195="No",0,IF(INDEX(Constants!H:H,MATCH(($I195/12),Constants!$A:$A,0))=0,0,INDEX(Constants!H:H,MATCH(($I195/12),Constants!$A:$A,0)))),0),"")</f>
        <v/>
      </c>
      <c r="AX195" s="146" t="str">
        <f>IFERROR(_xlfn.IFNA(IF($BA195="No",0,IF(INDEX(Constants!I:I,MATCH(($I195/12),Constants!$A:$A,0))=0,0,INDEX(Constants!I:I,MATCH(($I195/12),Constants!$A:$A,0)))),0),"")</f>
        <v/>
      </c>
      <c r="AY195" s="146" t="str">
        <f>IFERROR(_xlfn.IFNA(IF($BA195="No",0,IF(INDEX(Constants!J:J,MATCH(($I195/12),Constants!$A:$A,0))=0,0,INDEX(Constants!J:J,MATCH(($I195/12),Constants!$A:$A,0)))),0),"")</f>
        <v/>
      </c>
      <c r="AZ195" s="146" t="str">
        <f>IFERROR(_xlfn.IFNA(IF($BA195="No",0,IF(INDEX(Constants!K:K,MATCH(($I195/12),Constants!$A:$A,0))=0,0,INDEX(Constants!K:K,MATCH(($I195/12),Constants!$A:$A,0)))),0),"")</f>
        <v/>
      </c>
      <c r="BA195" s="147" t="str">
        <f>_xlfn.IFNA(INDEX(Producer!$L:$L,MATCH($D195,Producer!$A:$A,0)),"")</f>
        <v/>
      </c>
      <c r="BB195" s="146" t="str">
        <f>IFERROR(IF(AQ195=0,"",IF(($I195/12)=15,_xlfn.CONCAT(Constants!$N$7,TEXT(DATE(YEAR(H195)-(($I195/12)-3),MONTH(H195),DAY(H195)),"dd/mm/yyyy"),", ",Constants!$P$7,TEXT(DATE(YEAR(H195)-(($I195/12)-8),MONTH(H195),DAY(H195)),"dd/mm/yyyy"),", ",Constants!$T$7,TEXT(DATE(YEAR(H195)-(($I195/12)-11),MONTH(H195),DAY(H195)),"dd/mm/yyyy"),", ",Constants!$V$7,TEXT(DATE(YEAR(H195)-(($I195/12)-13),MONTH(H195),DAY(H195)),"dd/mm/yyyy"),", ",Constants!$W$7,TEXT($H195,"dd/mm/yyyy")),IF(($I195/12)=10,_xlfn.CONCAT(Constants!$N$6,TEXT(DATE(YEAR(H195)-(($I195/12)-2),MONTH(H195),DAY(H195)),"dd/mm/yyyy"),", ",Constants!$P$6,TEXT(DATE(YEAR(H195)-(($I195/12)-6),MONTH(H195),DAY(H195)),"dd/mm/yyyy"),", ",Constants!$T$6,TEXT(DATE(YEAR(H195)-(($I195/12)-8),MONTH(H195),DAY(H195)),"dd/mm/yyyy"),", ",Constants!$V$6,TEXT(DATE(YEAR(H195)-(($I195/12)-9),MONTH(H195),DAY(H195)),"dd/mm/yyyy"),", ",Constants!$W$6,TEXT($H195,"dd/mm/yyyy")),IF(($I195/12)=5,_xlfn.CONCAT(Constants!$N$5,TEXT(DATE(YEAR(H195)-(($I195/12)-1),MONTH(H195),DAY(H195)),"dd/mm/yyyy"),", ",Constants!$O$5,TEXT(DATE(YEAR(H195)-(($I195/12)-2),MONTH(H195),DAY(H195)),"dd/mm/yyyy"),", ",Constants!$P$5,TEXT(DATE(YEAR(H195)-(($I195/12)-3),MONTH(H195),DAY(H195)),"dd/mm/yyyy"),", ",Constants!$Q$5,TEXT(DATE(YEAR(H195)-(($I195/12)-4),MONTH(H195),DAY(H195)),"dd/mm/yyyy"),", ",Constants!$R$5,TEXT($H195,"dd/mm/yyyy")),IF(($I195/12)=3,_xlfn.CONCAT(Constants!$N$4,TEXT(DATE(YEAR(H195)-(($I195/12)-1),MONTH(H195),DAY(H195)),"dd/mm/yyyy"),", ",Constants!$O$4,TEXT(DATE(YEAR(H195)-(($I195/12)-2),MONTH(H195),DAY(H195)),"dd/mm/yyyy"),", ",Constants!$P$4,TEXT($H195,"dd/mm/yyyy")),IF(($I195/12)=2,_xlfn.CONCAT(Constants!$N$3,TEXT(DATE(YEAR(H195)-(($I195/12)-1),MONTH(H195),DAY(H195)),"dd/mm/yyyy"),", ",Constants!$O$3,TEXT($H195,"dd/mm/yyyy")),IF(($I195/12)=1,_xlfn.CONCAT(Constants!$N$2,TEXT($H195,"dd/mm/yyyy")),"Update Constants"))))))),"")</f>
        <v/>
      </c>
      <c r="BC195" s="147" t="str">
        <f>_xlfn.IFNA(VALUE(INDEX(Producer!$K:$K,MATCH($D195,Producer!$A:$A,0))),"")</f>
        <v/>
      </c>
      <c r="BD195" s="147" t="str">
        <f>_xlfn.IFNA(INDEX(Producer!$I:$I,MATCH($D195,Producer!$A:$A,0)),"")</f>
        <v/>
      </c>
      <c r="BE195" s="147" t="str">
        <f t="shared" ref="BE195:BE258" si="92">IF(B195="","","Yes")</f>
        <v/>
      </c>
      <c r="BF195" s="147"/>
      <c r="BG195" s="147"/>
      <c r="BH195" s="151" t="str">
        <f>_xlfn.IFNA(INDEX(Constants!$B:$B,MATCH(BC195,Constants!A:A,0)),"")</f>
        <v/>
      </c>
      <c r="BI195" s="147" t="str">
        <f>IF(LEFT(B195,15)="Limited Company",Constants!$D$16,IFERROR(_xlfn.IFNA(IF(C195="Residential",IF(BK195&lt;75,INDEX(Constants!$B:$B,MATCH(VALUE(60)/100,Constants!$A:$A,0)),INDEX(Constants!$B:$B,MATCH(VALUE(BK195)/100,Constants!$A:$A,0))),IF(BK195&lt;60,INDEX(Constants!$C:$C,MATCH(VALUE(60)/100,Constants!$A:$A,0)),INDEX(Constants!$C:$C,MATCH(VALUE(BK195)/100,Constants!$A:$A,0)))),""),""))</f>
        <v/>
      </c>
      <c r="BJ195" s="147" t="str">
        <f t="shared" ref="BJ195:BJ258" si="93">IF(B195="","",0)</f>
        <v/>
      </c>
      <c r="BK195" s="147" t="str">
        <f>_xlfn.IFNA(VALUE(INDEX(Producer!$E:$E,MATCH($D195,Producer!$A:$A,0)))*100,"")</f>
        <v/>
      </c>
      <c r="BL195" s="146" t="str">
        <f>_xlfn.IFNA(IF(IFERROR(FIND("Part &amp; Part",B195),-10)&gt;0,"PP",IF(OR(LEFT(B195,25)="Residential Interest Only",INDEX(Producer!$P:$P,MATCH($D195,Producer!$A:$A,0))="IO",INDEX(Producer!$P:$P,MATCH($D195,Producer!$A:$A,0))="Retirement Interest Only"),"IO",IF($C195="BuyToLet","CI, IO","CI"))),"")</f>
        <v/>
      </c>
      <c r="BM195" s="152" t="str">
        <f>_xlfn.IFNA(IF(BL195="IO",100%,IF(AND(INDEX(Producer!$P:$P,MATCH($D195,Producer!$A:$A,0))="Residential Interest Only Part &amp; Part",BK195=75),80%,IF(C195="BuyToLet",100%,IF(BL195="Interest Only",100%,IF(AND(INDEX(Producer!$P:$P,MATCH($D195,Producer!$A:$A,0))="Residential Interest Only Part &amp; Part",BK195=60),100%,""))))),"")</f>
        <v/>
      </c>
      <c r="BN195" s="218" t="str">
        <f>_xlfn.IFNA(IF(VALUE(INDEX(Producer!$H:$H,MATCH($D195,Producer!$A:$A,0)))=0,"",VALUE(INDEX(Producer!$H:$H,MATCH($D195,Producer!$A:$A,0)))),"")</f>
        <v/>
      </c>
      <c r="BO195" s="153"/>
      <c r="BP195" s="153"/>
      <c r="BQ195" s="219" t="str">
        <f t="shared" ref="BQ195:BQ258" si="94">IF(D195="","",35)</f>
        <v/>
      </c>
      <c r="BR195" s="146"/>
      <c r="BS195" s="146"/>
      <c r="BT195" s="146"/>
      <c r="BU195" s="146"/>
      <c r="BV195" s="219" t="str">
        <f t="shared" ref="BV195:BV258" si="95">IF(A195="","",199)</f>
        <v/>
      </c>
      <c r="BW195" s="146"/>
      <c r="BX195" s="146"/>
      <c r="BY195" s="146" t="str">
        <f t="shared" ref="BY195:BY258" si="96">IF(D195="","",IF(C195="BuyToLet","No","No"))</f>
        <v/>
      </c>
      <c r="BZ195" s="146" t="str">
        <f t="shared" ref="BZ195:BZ258" si="97">IF(D195="","","No")</f>
        <v/>
      </c>
      <c r="CA195" s="146" t="str">
        <f t="shared" ref="CA195:CA258" si="98">IF(D195="","",IF(LEFT(B195,12)="Second Homes","Only Available","No"))</f>
        <v/>
      </c>
      <c r="CB195" s="146" t="str">
        <f t="shared" ref="CB195:CB258" si="99">IF(D195="","","No")</f>
        <v/>
      </c>
      <c r="CC195" s="146" t="str">
        <f>_xlfn.IFNA(IF(INDEX(Producer!$P:$P,MATCH($D195,Producer!$A:$A,0))="Help to Buy","Only available","No"),"")</f>
        <v/>
      </c>
      <c r="CD195" s="146" t="str">
        <f>_xlfn.IFNA(IF(INDEX(Producer!$P:$P,MATCH($D195,Producer!$A:$A,0))="Shared Ownership","Only available","No"),"")</f>
        <v/>
      </c>
      <c r="CE195" s="146" t="str">
        <f>_xlfn.IFNA(IF(INDEX(Producer!$P:$P,MATCH($D195,Producer!$A:$A,0))="Right to Buy","Only available","No"),"")</f>
        <v/>
      </c>
      <c r="CF195" s="146" t="str">
        <f t="shared" ref="CF195:CF258" si="100">IF(D195="","","No")</f>
        <v/>
      </c>
      <c r="CG195" s="146" t="str">
        <f>_xlfn.IFNA(IF(INDEX(Producer!$P:$P,MATCH($D195,Producer!$A:$A,0))="Retirement Interest Only","Only available","No"),"")</f>
        <v/>
      </c>
      <c r="CH195" s="146" t="str">
        <f t="shared" ref="CH195:CH258" si="101">IF(B195="","",IF(LEFT(B195,15)="Limited Company","Only available","No"))</f>
        <v/>
      </c>
      <c r="CI195" s="146" t="str">
        <f>_xlfn.IFNA(IF(INDEX(Producer!$P:$P,MATCH($D195,Producer!$A:$A,0))="Intermediary Holiday Let","Only available","No"),"")</f>
        <v/>
      </c>
      <c r="CJ195" s="146" t="str">
        <f t="shared" ref="CJ195:CJ258" si="102">IF(D195="","","No")</f>
        <v/>
      </c>
      <c r="CK195" s="146" t="str">
        <f>_xlfn.IFNA(IF(OR(INDEX(Producer!$P:$P,MATCH($D195,Producer!$A:$A,0))="Intermediary Small HMO",INDEX(Producer!$P:$P,MATCH($D195,Producer!$A:$A,0))="Intermediary Large HMO"),"Only available","No"),"")</f>
        <v/>
      </c>
      <c r="CL195" s="146" t="str">
        <f t="shared" ref="CL195:CL258" si="103">IF(D195="","",IF(AND(LEFT(B195,15)&lt;&gt;"Limited Company",C195="BuyToLet"),"Also available","No"))</f>
        <v/>
      </c>
      <c r="CM195" s="146" t="str">
        <f t="shared" ref="CM195:CM258" si="104">IF(B195="","",IF(LEFT(B195,26)="Intermediary Portfolio BTL","Only available",IF(OR(LEFT(B195,18)="Intermediary Large",LEFT(B195,18)="Intermediary Small",LEFT(B195,20)="Intermediary Holiday",LEFT(B195,15)="Limited Company"),"Also available","No")))</f>
        <v/>
      </c>
      <c r="CN195" s="146" t="str">
        <f t="shared" ref="CN195:CN258" si="105">IF(D195="","","No")</f>
        <v/>
      </c>
      <c r="CO195" s="146" t="str">
        <f t="shared" ref="CO195:CO258" si="106">IF(A195="","",IF(AND(C195="Residential",BK195&lt;95),"Also available",IF(AND(C195="BuyToLet",BK195&lt;80),"Also available","No")))</f>
        <v/>
      </c>
      <c r="CP195" s="146" t="str">
        <f t="shared" ref="CP195:CP258" si="107">IF(B195="","",IF(LEFT(B195,13)="Shared Equity","Only available","No"))</f>
        <v/>
      </c>
      <c r="CQ195" s="146" t="str">
        <f t="shared" ref="CQ195:CQ258" si="108">IF(B195="","","No")</f>
        <v/>
      </c>
      <c r="CR195" s="146" t="str">
        <f t="shared" ref="CR195:CR258" si="109">IF(B195="","",IF(IFERROR(FIND("Green",B195),-10)&gt;0,"Only available","Also available"))</f>
        <v/>
      </c>
      <c r="CS195" s="146" t="str">
        <f t="shared" ref="CS195:CS258" si="110">IF(B195="","","Only available")</f>
        <v/>
      </c>
      <c r="CT195" s="146" t="str">
        <f t="shared" ref="CT195:CT258" si="111">IF(B195="","","No")</f>
        <v/>
      </c>
      <c r="CU195" s="146"/>
    </row>
    <row r="196" spans="1:99" ht="16.399999999999999" customHeight="1" x14ac:dyDescent="0.35">
      <c r="A196" s="145" t="str">
        <f t="shared" si="84"/>
        <v/>
      </c>
      <c r="B196" s="145" t="str">
        <f>_xlfn.IFNA(_xlfn.CONCAT(INDEX(Producer!$P:$P,MATCH($D196,Producer!$A:$A,0))," ",IF(INDEX(Producer!$N:$N,MATCH($D196,Producer!$A:$A,0))="Yes","Green ",""),IF(AND(INDEX(Producer!$L:$L,MATCH($D196,Producer!$A:$A,0))="No",INDEX(Producer!$C:$C,MATCH($D196,Producer!$A:$A,0))="Fixed"),"Flexit ",""),INDEX(Producer!$B:$B,MATCH($D196,Producer!$A:$A,0))," Year ",INDEX(Producer!$C:$C,MATCH($D196,Producer!$A:$A,0))," ",VALUE(INDEX(Producer!$E:$E,MATCH($D196,Producer!$A:$A,0)))*100,"% LTV",IF(INDEX(Producer!$N:$N,MATCH($D196,Producer!$A:$A,0))="Yes"," (EPC A-C)","")," - ",IF(INDEX(Producer!$D:$D,MATCH($D196,Producer!$A:$A,0))="DLY","Daily","Annual")),"")</f>
        <v/>
      </c>
      <c r="C196" s="146" t="str">
        <f>_xlfn.IFNA(INDEX(Producer!$Q:$Q,MATCH($D196,Producer!$A:$A,0)),"")</f>
        <v/>
      </c>
      <c r="D196" s="146" t="str">
        <f>IFERROR(VALUE(MID(Producer!$R$2,IF($D195="",1/0,FIND(_xlfn.CONCAT($D194,$D195),Producer!$R$2)+10),5)),"")</f>
        <v/>
      </c>
      <c r="E196" s="146" t="str">
        <f t="shared" si="85"/>
        <v/>
      </c>
      <c r="F196" s="146"/>
      <c r="G196" s="147" t="str">
        <f>_xlfn.IFNA(VALUE(INDEX(Producer!$F:$F,MATCH($D196,Producer!$A:$A,0)))*100,"")</f>
        <v/>
      </c>
      <c r="H196" s="216" t="str">
        <f>_xlfn.IFNA(IFERROR(DATEVALUE(INDEX(Producer!$M:$M,MATCH($D196,Producer!$A:$A,0))),(INDEX(Producer!$M:$M,MATCH($D196,Producer!$A:$A,0)))),"")</f>
        <v/>
      </c>
      <c r="I196" s="217" t="str">
        <f>_xlfn.IFNA(VALUE(INDEX(Producer!$B:$B,MATCH($D196,Producer!$A:$A,0)))*12,"")</f>
        <v/>
      </c>
      <c r="J196" s="146" t="str">
        <f>_xlfn.IFNA(IF(C196="Residential",IF(VALUE(INDEX(Producer!$B:$B,MATCH($D196,Producer!$A:$A,0)))&lt;5,Constants!$C$10,""),IF(VALUE(INDEX(Producer!$B:$B,MATCH($D196,Producer!$A:$A,0)))&lt;5,Constants!$C$11,"")),"")</f>
        <v/>
      </c>
      <c r="K196" s="216" t="str">
        <f>_xlfn.IFNA(IF(($I196)&lt;60,DATE(YEAR(H196)+(5-VALUE(INDEX(Producer!$B:$B,MATCH($D196,Producer!$A:$A,0)))),MONTH(H196),DAY(H196)),""),"")</f>
        <v/>
      </c>
      <c r="L196" s="153" t="str">
        <f t="shared" si="86"/>
        <v/>
      </c>
      <c r="M196" s="146"/>
      <c r="N196" s="148"/>
      <c r="O196" s="148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46" t="str">
        <f>IF(D196="","",IF(C196="Residential",Constants!$B$10,Constants!$B$11))</f>
        <v/>
      </c>
      <c r="AL196" s="146" t="str">
        <f t="shared" si="87"/>
        <v/>
      </c>
      <c r="AM196" s="206" t="str">
        <f t="shared" si="88"/>
        <v/>
      </c>
      <c r="AN196" s="146" t="str">
        <f t="shared" si="89"/>
        <v/>
      </c>
      <c r="AO196" s="149" t="str">
        <f t="shared" si="90"/>
        <v/>
      </c>
      <c r="AP196" s="150" t="str">
        <f t="shared" si="91"/>
        <v/>
      </c>
      <c r="AQ196" s="146" t="str">
        <f>IFERROR(_xlfn.IFNA(IF($BA196="No",0,IF(INDEX(Constants!B:B,MATCH(($I196/12),Constants!$A:$A,0))=0,0,INDEX(Constants!B:B,MATCH(($I196/12),Constants!$A:$A,0)))),0),"")</f>
        <v/>
      </c>
      <c r="AR196" s="146" t="str">
        <f>IFERROR(_xlfn.IFNA(IF($BA196="No",0,IF(INDEX(Constants!C:C,MATCH(($I196/12),Constants!$A:$A,0))=0,0,INDEX(Constants!C:C,MATCH(($I196/12),Constants!$A:$A,0)))),0),"")</f>
        <v/>
      </c>
      <c r="AS196" s="146" t="str">
        <f>IFERROR(_xlfn.IFNA(IF($BA196="No",0,IF(INDEX(Constants!D:D,MATCH(($I196/12),Constants!$A:$A,0))=0,0,INDEX(Constants!D:D,MATCH(($I196/12),Constants!$A:$A,0)))),0),"")</f>
        <v/>
      </c>
      <c r="AT196" s="146" t="str">
        <f>IFERROR(_xlfn.IFNA(IF($BA196="No",0,IF(INDEX(Constants!E:E,MATCH(($I196/12),Constants!$A:$A,0))=0,0,INDEX(Constants!E:E,MATCH(($I196/12),Constants!$A:$A,0)))),0),"")</f>
        <v/>
      </c>
      <c r="AU196" s="146" t="str">
        <f>IFERROR(_xlfn.IFNA(IF($BA196="No",0,IF(INDEX(Constants!F:F,MATCH(($I196/12),Constants!$A:$A,0))=0,0,INDEX(Constants!F:F,MATCH(($I196/12),Constants!$A:$A,0)))),0),"")</f>
        <v/>
      </c>
      <c r="AV196" s="146" t="str">
        <f>IFERROR(_xlfn.IFNA(IF($BA196="No",0,IF(INDEX(Constants!G:G,MATCH(($I196/12),Constants!$A:$A,0))=0,0,INDEX(Constants!G:G,MATCH(($I196/12),Constants!$A:$A,0)))),0),"")</f>
        <v/>
      </c>
      <c r="AW196" s="146" t="str">
        <f>IFERROR(_xlfn.IFNA(IF($BA196="No",0,IF(INDEX(Constants!H:H,MATCH(($I196/12),Constants!$A:$A,0))=0,0,INDEX(Constants!H:H,MATCH(($I196/12),Constants!$A:$A,0)))),0),"")</f>
        <v/>
      </c>
      <c r="AX196" s="146" t="str">
        <f>IFERROR(_xlfn.IFNA(IF($BA196="No",0,IF(INDEX(Constants!I:I,MATCH(($I196/12),Constants!$A:$A,0))=0,0,INDEX(Constants!I:I,MATCH(($I196/12),Constants!$A:$A,0)))),0),"")</f>
        <v/>
      </c>
      <c r="AY196" s="146" t="str">
        <f>IFERROR(_xlfn.IFNA(IF($BA196="No",0,IF(INDEX(Constants!J:J,MATCH(($I196/12),Constants!$A:$A,0))=0,0,INDEX(Constants!J:J,MATCH(($I196/12),Constants!$A:$A,0)))),0),"")</f>
        <v/>
      </c>
      <c r="AZ196" s="146" t="str">
        <f>IFERROR(_xlfn.IFNA(IF($BA196="No",0,IF(INDEX(Constants!K:K,MATCH(($I196/12),Constants!$A:$A,0))=0,0,INDEX(Constants!K:K,MATCH(($I196/12),Constants!$A:$A,0)))),0),"")</f>
        <v/>
      </c>
      <c r="BA196" s="147" t="str">
        <f>_xlfn.IFNA(INDEX(Producer!$L:$L,MATCH($D196,Producer!$A:$A,0)),"")</f>
        <v/>
      </c>
      <c r="BB196" s="146" t="str">
        <f>IFERROR(IF(AQ196=0,"",IF(($I196/12)=15,_xlfn.CONCAT(Constants!$N$7,TEXT(DATE(YEAR(H196)-(($I196/12)-3),MONTH(H196),DAY(H196)),"dd/mm/yyyy"),", ",Constants!$P$7,TEXT(DATE(YEAR(H196)-(($I196/12)-8),MONTH(H196),DAY(H196)),"dd/mm/yyyy"),", ",Constants!$T$7,TEXT(DATE(YEAR(H196)-(($I196/12)-11),MONTH(H196),DAY(H196)),"dd/mm/yyyy"),", ",Constants!$V$7,TEXT(DATE(YEAR(H196)-(($I196/12)-13),MONTH(H196),DAY(H196)),"dd/mm/yyyy"),", ",Constants!$W$7,TEXT($H196,"dd/mm/yyyy")),IF(($I196/12)=10,_xlfn.CONCAT(Constants!$N$6,TEXT(DATE(YEAR(H196)-(($I196/12)-2),MONTH(H196),DAY(H196)),"dd/mm/yyyy"),", ",Constants!$P$6,TEXT(DATE(YEAR(H196)-(($I196/12)-6),MONTH(H196),DAY(H196)),"dd/mm/yyyy"),", ",Constants!$T$6,TEXT(DATE(YEAR(H196)-(($I196/12)-8),MONTH(H196),DAY(H196)),"dd/mm/yyyy"),", ",Constants!$V$6,TEXT(DATE(YEAR(H196)-(($I196/12)-9),MONTH(H196),DAY(H196)),"dd/mm/yyyy"),", ",Constants!$W$6,TEXT($H196,"dd/mm/yyyy")),IF(($I196/12)=5,_xlfn.CONCAT(Constants!$N$5,TEXT(DATE(YEAR(H196)-(($I196/12)-1),MONTH(H196),DAY(H196)),"dd/mm/yyyy"),", ",Constants!$O$5,TEXT(DATE(YEAR(H196)-(($I196/12)-2),MONTH(H196),DAY(H196)),"dd/mm/yyyy"),", ",Constants!$P$5,TEXT(DATE(YEAR(H196)-(($I196/12)-3),MONTH(H196),DAY(H196)),"dd/mm/yyyy"),", ",Constants!$Q$5,TEXT(DATE(YEAR(H196)-(($I196/12)-4),MONTH(H196),DAY(H196)),"dd/mm/yyyy"),", ",Constants!$R$5,TEXT($H196,"dd/mm/yyyy")),IF(($I196/12)=3,_xlfn.CONCAT(Constants!$N$4,TEXT(DATE(YEAR(H196)-(($I196/12)-1),MONTH(H196),DAY(H196)),"dd/mm/yyyy"),", ",Constants!$O$4,TEXT(DATE(YEAR(H196)-(($I196/12)-2),MONTH(H196),DAY(H196)),"dd/mm/yyyy"),", ",Constants!$P$4,TEXT($H196,"dd/mm/yyyy")),IF(($I196/12)=2,_xlfn.CONCAT(Constants!$N$3,TEXT(DATE(YEAR(H196)-(($I196/12)-1),MONTH(H196),DAY(H196)),"dd/mm/yyyy"),", ",Constants!$O$3,TEXT($H196,"dd/mm/yyyy")),IF(($I196/12)=1,_xlfn.CONCAT(Constants!$N$2,TEXT($H196,"dd/mm/yyyy")),"Update Constants"))))))),"")</f>
        <v/>
      </c>
      <c r="BC196" s="147" t="str">
        <f>_xlfn.IFNA(VALUE(INDEX(Producer!$K:$K,MATCH($D196,Producer!$A:$A,0))),"")</f>
        <v/>
      </c>
      <c r="BD196" s="147" t="str">
        <f>_xlfn.IFNA(INDEX(Producer!$I:$I,MATCH($D196,Producer!$A:$A,0)),"")</f>
        <v/>
      </c>
      <c r="BE196" s="147" t="str">
        <f t="shared" si="92"/>
        <v/>
      </c>
      <c r="BF196" s="147"/>
      <c r="BG196" s="147"/>
      <c r="BH196" s="151" t="str">
        <f>_xlfn.IFNA(INDEX(Constants!$B:$B,MATCH(BC196,Constants!A:A,0)),"")</f>
        <v/>
      </c>
      <c r="BI196" s="147" t="str">
        <f>IF(LEFT(B196,15)="Limited Company",Constants!$D$16,IFERROR(_xlfn.IFNA(IF(C196="Residential",IF(BK196&lt;75,INDEX(Constants!$B:$B,MATCH(VALUE(60)/100,Constants!$A:$A,0)),INDEX(Constants!$B:$B,MATCH(VALUE(BK196)/100,Constants!$A:$A,0))),IF(BK196&lt;60,INDEX(Constants!$C:$C,MATCH(VALUE(60)/100,Constants!$A:$A,0)),INDEX(Constants!$C:$C,MATCH(VALUE(BK196)/100,Constants!$A:$A,0)))),""),""))</f>
        <v/>
      </c>
      <c r="BJ196" s="147" t="str">
        <f t="shared" si="93"/>
        <v/>
      </c>
      <c r="BK196" s="147" t="str">
        <f>_xlfn.IFNA(VALUE(INDEX(Producer!$E:$E,MATCH($D196,Producer!$A:$A,0)))*100,"")</f>
        <v/>
      </c>
      <c r="BL196" s="146" t="str">
        <f>_xlfn.IFNA(IF(IFERROR(FIND("Part &amp; Part",B196),-10)&gt;0,"PP",IF(OR(LEFT(B196,25)="Residential Interest Only",INDEX(Producer!$P:$P,MATCH($D196,Producer!$A:$A,0))="IO",INDEX(Producer!$P:$P,MATCH($D196,Producer!$A:$A,0))="Retirement Interest Only"),"IO",IF($C196="BuyToLet","CI, IO","CI"))),"")</f>
        <v/>
      </c>
      <c r="BM196" s="152" t="str">
        <f>_xlfn.IFNA(IF(BL196="IO",100%,IF(AND(INDEX(Producer!$P:$P,MATCH($D196,Producer!$A:$A,0))="Residential Interest Only Part &amp; Part",BK196=75),80%,IF(C196="BuyToLet",100%,IF(BL196="Interest Only",100%,IF(AND(INDEX(Producer!$P:$P,MATCH($D196,Producer!$A:$A,0))="Residential Interest Only Part &amp; Part",BK196=60),100%,""))))),"")</f>
        <v/>
      </c>
      <c r="BN196" s="218" t="str">
        <f>_xlfn.IFNA(IF(VALUE(INDEX(Producer!$H:$H,MATCH($D196,Producer!$A:$A,0)))=0,"",VALUE(INDEX(Producer!$H:$H,MATCH($D196,Producer!$A:$A,0)))),"")</f>
        <v/>
      </c>
      <c r="BO196" s="153"/>
      <c r="BP196" s="153"/>
      <c r="BQ196" s="219" t="str">
        <f t="shared" si="94"/>
        <v/>
      </c>
      <c r="BR196" s="146"/>
      <c r="BS196" s="146"/>
      <c r="BT196" s="146"/>
      <c r="BU196" s="146"/>
      <c r="BV196" s="219" t="str">
        <f t="shared" si="95"/>
        <v/>
      </c>
      <c r="BW196" s="146"/>
      <c r="BX196" s="146"/>
      <c r="BY196" s="146" t="str">
        <f t="shared" si="96"/>
        <v/>
      </c>
      <c r="BZ196" s="146" t="str">
        <f t="shared" si="97"/>
        <v/>
      </c>
      <c r="CA196" s="146" t="str">
        <f t="shared" si="98"/>
        <v/>
      </c>
      <c r="CB196" s="146" t="str">
        <f t="shared" si="99"/>
        <v/>
      </c>
      <c r="CC196" s="146" t="str">
        <f>_xlfn.IFNA(IF(INDEX(Producer!$P:$P,MATCH($D196,Producer!$A:$A,0))="Help to Buy","Only available","No"),"")</f>
        <v/>
      </c>
      <c r="CD196" s="146" t="str">
        <f>_xlfn.IFNA(IF(INDEX(Producer!$P:$P,MATCH($D196,Producer!$A:$A,0))="Shared Ownership","Only available","No"),"")</f>
        <v/>
      </c>
      <c r="CE196" s="146" t="str">
        <f>_xlfn.IFNA(IF(INDEX(Producer!$P:$P,MATCH($D196,Producer!$A:$A,0))="Right to Buy","Only available","No"),"")</f>
        <v/>
      </c>
      <c r="CF196" s="146" t="str">
        <f t="shared" si="100"/>
        <v/>
      </c>
      <c r="CG196" s="146" t="str">
        <f>_xlfn.IFNA(IF(INDEX(Producer!$P:$P,MATCH($D196,Producer!$A:$A,0))="Retirement Interest Only","Only available","No"),"")</f>
        <v/>
      </c>
      <c r="CH196" s="146" t="str">
        <f t="shared" si="101"/>
        <v/>
      </c>
      <c r="CI196" s="146" t="str">
        <f>_xlfn.IFNA(IF(INDEX(Producer!$P:$P,MATCH($D196,Producer!$A:$A,0))="Intermediary Holiday Let","Only available","No"),"")</f>
        <v/>
      </c>
      <c r="CJ196" s="146" t="str">
        <f t="shared" si="102"/>
        <v/>
      </c>
      <c r="CK196" s="146" t="str">
        <f>_xlfn.IFNA(IF(OR(INDEX(Producer!$P:$P,MATCH($D196,Producer!$A:$A,0))="Intermediary Small HMO",INDEX(Producer!$P:$P,MATCH($D196,Producer!$A:$A,0))="Intermediary Large HMO"),"Only available","No"),"")</f>
        <v/>
      </c>
      <c r="CL196" s="146" t="str">
        <f t="shared" si="103"/>
        <v/>
      </c>
      <c r="CM196" s="146" t="str">
        <f t="shared" si="104"/>
        <v/>
      </c>
      <c r="CN196" s="146" t="str">
        <f t="shared" si="105"/>
        <v/>
      </c>
      <c r="CO196" s="146" t="str">
        <f t="shared" si="106"/>
        <v/>
      </c>
      <c r="CP196" s="146" t="str">
        <f t="shared" si="107"/>
        <v/>
      </c>
      <c r="CQ196" s="146" t="str">
        <f t="shared" si="108"/>
        <v/>
      </c>
      <c r="CR196" s="146" t="str">
        <f t="shared" si="109"/>
        <v/>
      </c>
      <c r="CS196" s="146" t="str">
        <f t="shared" si="110"/>
        <v/>
      </c>
      <c r="CT196" s="146" t="str">
        <f t="shared" si="111"/>
        <v/>
      </c>
      <c r="CU196" s="146"/>
    </row>
    <row r="197" spans="1:99" ht="16.399999999999999" customHeight="1" x14ac:dyDescent="0.35">
      <c r="A197" s="145" t="str">
        <f t="shared" si="84"/>
        <v/>
      </c>
      <c r="B197" s="145" t="str">
        <f>_xlfn.IFNA(_xlfn.CONCAT(INDEX(Producer!$P:$P,MATCH($D197,Producer!$A:$A,0))," ",IF(INDEX(Producer!$N:$N,MATCH($D197,Producer!$A:$A,0))="Yes","Green ",""),IF(AND(INDEX(Producer!$L:$L,MATCH($D197,Producer!$A:$A,0))="No",INDEX(Producer!$C:$C,MATCH($D197,Producer!$A:$A,0))="Fixed"),"Flexit ",""),INDEX(Producer!$B:$B,MATCH($D197,Producer!$A:$A,0))," Year ",INDEX(Producer!$C:$C,MATCH($D197,Producer!$A:$A,0))," ",VALUE(INDEX(Producer!$E:$E,MATCH($D197,Producer!$A:$A,0)))*100,"% LTV",IF(INDEX(Producer!$N:$N,MATCH($D197,Producer!$A:$A,0))="Yes"," (EPC A-C)","")," - ",IF(INDEX(Producer!$D:$D,MATCH($D197,Producer!$A:$A,0))="DLY","Daily","Annual")),"")</f>
        <v/>
      </c>
      <c r="C197" s="146" t="str">
        <f>_xlfn.IFNA(INDEX(Producer!$Q:$Q,MATCH($D197,Producer!$A:$A,0)),"")</f>
        <v/>
      </c>
      <c r="D197" s="146" t="str">
        <f>IFERROR(VALUE(MID(Producer!$R$2,IF($D196="",1/0,FIND(_xlfn.CONCAT($D195,$D196),Producer!$R$2)+10),5)),"")</f>
        <v/>
      </c>
      <c r="E197" s="146" t="str">
        <f t="shared" si="85"/>
        <v/>
      </c>
      <c r="F197" s="146"/>
      <c r="G197" s="147" t="str">
        <f>_xlfn.IFNA(VALUE(INDEX(Producer!$F:$F,MATCH($D197,Producer!$A:$A,0)))*100,"")</f>
        <v/>
      </c>
      <c r="H197" s="216" t="str">
        <f>_xlfn.IFNA(IFERROR(DATEVALUE(INDEX(Producer!$M:$M,MATCH($D197,Producer!$A:$A,0))),(INDEX(Producer!$M:$M,MATCH($D197,Producer!$A:$A,0)))),"")</f>
        <v/>
      </c>
      <c r="I197" s="217" t="str">
        <f>_xlfn.IFNA(VALUE(INDEX(Producer!$B:$B,MATCH($D197,Producer!$A:$A,0)))*12,"")</f>
        <v/>
      </c>
      <c r="J197" s="146" t="str">
        <f>_xlfn.IFNA(IF(C197="Residential",IF(VALUE(INDEX(Producer!$B:$B,MATCH($D197,Producer!$A:$A,0)))&lt;5,Constants!$C$10,""),IF(VALUE(INDEX(Producer!$B:$B,MATCH($D197,Producer!$A:$A,0)))&lt;5,Constants!$C$11,"")),"")</f>
        <v/>
      </c>
      <c r="K197" s="216" t="str">
        <f>_xlfn.IFNA(IF(($I197)&lt;60,DATE(YEAR(H197)+(5-VALUE(INDEX(Producer!$B:$B,MATCH($D197,Producer!$A:$A,0)))),MONTH(H197),DAY(H197)),""),"")</f>
        <v/>
      </c>
      <c r="L197" s="153" t="str">
        <f t="shared" si="86"/>
        <v/>
      </c>
      <c r="M197" s="146"/>
      <c r="N197" s="148"/>
      <c r="O197" s="148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  <c r="AB197" s="146"/>
      <c r="AC197" s="146"/>
      <c r="AD197" s="146"/>
      <c r="AE197" s="146"/>
      <c r="AF197" s="146"/>
      <c r="AG197" s="146"/>
      <c r="AH197" s="146"/>
      <c r="AI197" s="146"/>
      <c r="AJ197" s="146"/>
      <c r="AK197" s="146" t="str">
        <f>IF(D197="","",IF(C197="Residential",Constants!$B$10,Constants!$B$11))</f>
        <v/>
      </c>
      <c r="AL197" s="146" t="str">
        <f t="shared" si="87"/>
        <v/>
      </c>
      <c r="AM197" s="206" t="str">
        <f t="shared" si="88"/>
        <v/>
      </c>
      <c r="AN197" s="146" t="str">
        <f t="shared" si="89"/>
        <v/>
      </c>
      <c r="AO197" s="149" t="str">
        <f t="shared" si="90"/>
        <v/>
      </c>
      <c r="AP197" s="150" t="str">
        <f t="shared" si="91"/>
        <v/>
      </c>
      <c r="AQ197" s="146" t="str">
        <f>IFERROR(_xlfn.IFNA(IF($BA197="No",0,IF(INDEX(Constants!B:B,MATCH(($I197/12),Constants!$A:$A,0))=0,0,INDEX(Constants!B:B,MATCH(($I197/12),Constants!$A:$A,0)))),0),"")</f>
        <v/>
      </c>
      <c r="AR197" s="146" t="str">
        <f>IFERROR(_xlfn.IFNA(IF($BA197="No",0,IF(INDEX(Constants!C:C,MATCH(($I197/12),Constants!$A:$A,0))=0,0,INDEX(Constants!C:C,MATCH(($I197/12),Constants!$A:$A,0)))),0),"")</f>
        <v/>
      </c>
      <c r="AS197" s="146" t="str">
        <f>IFERROR(_xlfn.IFNA(IF($BA197="No",0,IF(INDEX(Constants!D:D,MATCH(($I197/12),Constants!$A:$A,0))=0,0,INDEX(Constants!D:D,MATCH(($I197/12),Constants!$A:$A,0)))),0),"")</f>
        <v/>
      </c>
      <c r="AT197" s="146" t="str">
        <f>IFERROR(_xlfn.IFNA(IF($BA197="No",0,IF(INDEX(Constants!E:E,MATCH(($I197/12),Constants!$A:$A,0))=0,0,INDEX(Constants!E:E,MATCH(($I197/12),Constants!$A:$A,0)))),0),"")</f>
        <v/>
      </c>
      <c r="AU197" s="146" t="str">
        <f>IFERROR(_xlfn.IFNA(IF($BA197="No",0,IF(INDEX(Constants!F:F,MATCH(($I197/12),Constants!$A:$A,0))=0,0,INDEX(Constants!F:F,MATCH(($I197/12),Constants!$A:$A,0)))),0),"")</f>
        <v/>
      </c>
      <c r="AV197" s="146" t="str">
        <f>IFERROR(_xlfn.IFNA(IF($BA197="No",0,IF(INDEX(Constants!G:G,MATCH(($I197/12),Constants!$A:$A,0))=0,0,INDEX(Constants!G:G,MATCH(($I197/12),Constants!$A:$A,0)))),0),"")</f>
        <v/>
      </c>
      <c r="AW197" s="146" t="str">
        <f>IFERROR(_xlfn.IFNA(IF($BA197="No",0,IF(INDEX(Constants!H:H,MATCH(($I197/12),Constants!$A:$A,0))=0,0,INDEX(Constants!H:H,MATCH(($I197/12),Constants!$A:$A,0)))),0),"")</f>
        <v/>
      </c>
      <c r="AX197" s="146" t="str">
        <f>IFERROR(_xlfn.IFNA(IF($BA197="No",0,IF(INDEX(Constants!I:I,MATCH(($I197/12),Constants!$A:$A,0))=0,0,INDEX(Constants!I:I,MATCH(($I197/12),Constants!$A:$A,0)))),0),"")</f>
        <v/>
      </c>
      <c r="AY197" s="146" t="str">
        <f>IFERROR(_xlfn.IFNA(IF($BA197="No",0,IF(INDEX(Constants!J:J,MATCH(($I197/12),Constants!$A:$A,0))=0,0,INDEX(Constants!J:J,MATCH(($I197/12),Constants!$A:$A,0)))),0),"")</f>
        <v/>
      </c>
      <c r="AZ197" s="146" t="str">
        <f>IFERROR(_xlfn.IFNA(IF($BA197="No",0,IF(INDEX(Constants!K:K,MATCH(($I197/12),Constants!$A:$A,0))=0,0,INDEX(Constants!K:K,MATCH(($I197/12),Constants!$A:$A,0)))),0),"")</f>
        <v/>
      </c>
      <c r="BA197" s="147" t="str">
        <f>_xlfn.IFNA(INDEX(Producer!$L:$L,MATCH($D197,Producer!$A:$A,0)),"")</f>
        <v/>
      </c>
      <c r="BB197" s="146" t="str">
        <f>IFERROR(IF(AQ197=0,"",IF(($I197/12)=15,_xlfn.CONCAT(Constants!$N$7,TEXT(DATE(YEAR(H197)-(($I197/12)-3),MONTH(H197),DAY(H197)),"dd/mm/yyyy"),", ",Constants!$P$7,TEXT(DATE(YEAR(H197)-(($I197/12)-8),MONTH(H197),DAY(H197)),"dd/mm/yyyy"),", ",Constants!$T$7,TEXT(DATE(YEAR(H197)-(($I197/12)-11),MONTH(H197),DAY(H197)),"dd/mm/yyyy"),", ",Constants!$V$7,TEXT(DATE(YEAR(H197)-(($I197/12)-13),MONTH(H197),DAY(H197)),"dd/mm/yyyy"),", ",Constants!$W$7,TEXT($H197,"dd/mm/yyyy")),IF(($I197/12)=10,_xlfn.CONCAT(Constants!$N$6,TEXT(DATE(YEAR(H197)-(($I197/12)-2),MONTH(H197),DAY(H197)),"dd/mm/yyyy"),", ",Constants!$P$6,TEXT(DATE(YEAR(H197)-(($I197/12)-6),MONTH(H197),DAY(H197)),"dd/mm/yyyy"),", ",Constants!$T$6,TEXT(DATE(YEAR(H197)-(($I197/12)-8),MONTH(H197),DAY(H197)),"dd/mm/yyyy"),", ",Constants!$V$6,TEXT(DATE(YEAR(H197)-(($I197/12)-9),MONTH(H197),DAY(H197)),"dd/mm/yyyy"),", ",Constants!$W$6,TEXT($H197,"dd/mm/yyyy")),IF(($I197/12)=5,_xlfn.CONCAT(Constants!$N$5,TEXT(DATE(YEAR(H197)-(($I197/12)-1),MONTH(H197),DAY(H197)),"dd/mm/yyyy"),", ",Constants!$O$5,TEXT(DATE(YEAR(H197)-(($I197/12)-2),MONTH(H197),DAY(H197)),"dd/mm/yyyy"),", ",Constants!$P$5,TEXT(DATE(YEAR(H197)-(($I197/12)-3),MONTH(H197),DAY(H197)),"dd/mm/yyyy"),", ",Constants!$Q$5,TEXT(DATE(YEAR(H197)-(($I197/12)-4),MONTH(H197),DAY(H197)),"dd/mm/yyyy"),", ",Constants!$R$5,TEXT($H197,"dd/mm/yyyy")),IF(($I197/12)=3,_xlfn.CONCAT(Constants!$N$4,TEXT(DATE(YEAR(H197)-(($I197/12)-1),MONTH(H197),DAY(H197)),"dd/mm/yyyy"),", ",Constants!$O$4,TEXT(DATE(YEAR(H197)-(($I197/12)-2),MONTH(H197),DAY(H197)),"dd/mm/yyyy"),", ",Constants!$P$4,TEXT($H197,"dd/mm/yyyy")),IF(($I197/12)=2,_xlfn.CONCAT(Constants!$N$3,TEXT(DATE(YEAR(H197)-(($I197/12)-1),MONTH(H197),DAY(H197)),"dd/mm/yyyy"),", ",Constants!$O$3,TEXT($H197,"dd/mm/yyyy")),IF(($I197/12)=1,_xlfn.CONCAT(Constants!$N$2,TEXT($H197,"dd/mm/yyyy")),"Update Constants"))))))),"")</f>
        <v/>
      </c>
      <c r="BC197" s="147" t="str">
        <f>_xlfn.IFNA(VALUE(INDEX(Producer!$K:$K,MATCH($D197,Producer!$A:$A,0))),"")</f>
        <v/>
      </c>
      <c r="BD197" s="147" t="str">
        <f>_xlfn.IFNA(INDEX(Producer!$I:$I,MATCH($D197,Producer!$A:$A,0)),"")</f>
        <v/>
      </c>
      <c r="BE197" s="147" t="str">
        <f t="shared" si="92"/>
        <v/>
      </c>
      <c r="BF197" s="147"/>
      <c r="BG197" s="147"/>
      <c r="BH197" s="151" t="str">
        <f>_xlfn.IFNA(INDEX(Constants!$B:$B,MATCH(BC197,Constants!A:A,0)),"")</f>
        <v/>
      </c>
      <c r="BI197" s="147" t="str">
        <f>IF(LEFT(B197,15)="Limited Company",Constants!$D$16,IFERROR(_xlfn.IFNA(IF(C197="Residential",IF(BK197&lt;75,INDEX(Constants!$B:$B,MATCH(VALUE(60)/100,Constants!$A:$A,0)),INDEX(Constants!$B:$B,MATCH(VALUE(BK197)/100,Constants!$A:$A,0))),IF(BK197&lt;60,INDEX(Constants!$C:$C,MATCH(VALUE(60)/100,Constants!$A:$A,0)),INDEX(Constants!$C:$C,MATCH(VALUE(BK197)/100,Constants!$A:$A,0)))),""),""))</f>
        <v/>
      </c>
      <c r="BJ197" s="147" t="str">
        <f t="shared" si="93"/>
        <v/>
      </c>
      <c r="BK197" s="147" t="str">
        <f>_xlfn.IFNA(VALUE(INDEX(Producer!$E:$E,MATCH($D197,Producer!$A:$A,0)))*100,"")</f>
        <v/>
      </c>
      <c r="BL197" s="146" t="str">
        <f>_xlfn.IFNA(IF(IFERROR(FIND("Part &amp; Part",B197),-10)&gt;0,"PP",IF(OR(LEFT(B197,25)="Residential Interest Only",INDEX(Producer!$P:$P,MATCH($D197,Producer!$A:$A,0))="IO",INDEX(Producer!$P:$P,MATCH($D197,Producer!$A:$A,0))="Retirement Interest Only"),"IO",IF($C197="BuyToLet","CI, IO","CI"))),"")</f>
        <v/>
      </c>
      <c r="BM197" s="152" t="str">
        <f>_xlfn.IFNA(IF(BL197="IO",100%,IF(AND(INDEX(Producer!$P:$P,MATCH($D197,Producer!$A:$A,0))="Residential Interest Only Part &amp; Part",BK197=75),80%,IF(C197="BuyToLet",100%,IF(BL197="Interest Only",100%,IF(AND(INDEX(Producer!$P:$P,MATCH($D197,Producer!$A:$A,0))="Residential Interest Only Part &amp; Part",BK197=60),100%,""))))),"")</f>
        <v/>
      </c>
      <c r="BN197" s="218" t="str">
        <f>_xlfn.IFNA(IF(VALUE(INDEX(Producer!$H:$H,MATCH($D197,Producer!$A:$A,0)))=0,"",VALUE(INDEX(Producer!$H:$H,MATCH($D197,Producer!$A:$A,0)))),"")</f>
        <v/>
      </c>
      <c r="BO197" s="153"/>
      <c r="BP197" s="153"/>
      <c r="BQ197" s="219" t="str">
        <f t="shared" si="94"/>
        <v/>
      </c>
      <c r="BR197" s="146"/>
      <c r="BS197" s="146"/>
      <c r="BT197" s="146"/>
      <c r="BU197" s="146"/>
      <c r="BV197" s="219" t="str">
        <f t="shared" si="95"/>
        <v/>
      </c>
      <c r="BW197" s="146"/>
      <c r="BX197" s="146"/>
      <c r="BY197" s="146" t="str">
        <f t="shared" si="96"/>
        <v/>
      </c>
      <c r="BZ197" s="146" t="str">
        <f t="shared" si="97"/>
        <v/>
      </c>
      <c r="CA197" s="146" t="str">
        <f t="shared" si="98"/>
        <v/>
      </c>
      <c r="CB197" s="146" t="str">
        <f t="shared" si="99"/>
        <v/>
      </c>
      <c r="CC197" s="146" t="str">
        <f>_xlfn.IFNA(IF(INDEX(Producer!$P:$P,MATCH($D197,Producer!$A:$A,0))="Help to Buy","Only available","No"),"")</f>
        <v/>
      </c>
      <c r="CD197" s="146" t="str">
        <f>_xlfn.IFNA(IF(INDEX(Producer!$P:$P,MATCH($D197,Producer!$A:$A,0))="Shared Ownership","Only available","No"),"")</f>
        <v/>
      </c>
      <c r="CE197" s="146" t="str">
        <f>_xlfn.IFNA(IF(INDEX(Producer!$P:$P,MATCH($D197,Producer!$A:$A,0))="Right to Buy","Only available","No"),"")</f>
        <v/>
      </c>
      <c r="CF197" s="146" t="str">
        <f t="shared" si="100"/>
        <v/>
      </c>
      <c r="CG197" s="146" t="str">
        <f>_xlfn.IFNA(IF(INDEX(Producer!$P:$P,MATCH($D197,Producer!$A:$A,0))="Retirement Interest Only","Only available","No"),"")</f>
        <v/>
      </c>
      <c r="CH197" s="146" t="str">
        <f t="shared" si="101"/>
        <v/>
      </c>
      <c r="CI197" s="146" t="str">
        <f>_xlfn.IFNA(IF(INDEX(Producer!$P:$P,MATCH($D197,Producer!$A:$A,0))="Intermediary Holiday Let","Only available","No"),"")</f>
        <v/>
      </c>
      <c r="CJ197" s="146" t="str">
        <f t="shared" si="102"/>
        <v/>
      </c>
      <c r="CK197" s="146" t="str">
        <f>_xlfn.IFNA(IF(OR(INDEX(Producer!$P:$P,MATCH($D197,Producer!$A:$A,0))="Intermediary Small HMO",INDEX(Producer!$P:$P,MATCH($D197,Producer!$A:$A,0))="Intermediary Large HMO"),"Only available","No"),"")</f>
        <v/>
      </c>
      <c r="CL197" s="146" t="str">
        <f t="shared" si="103"/>
        <v/>
      </c>
      <c r="CM197" s="146" t="str">
        <f t="shared" si="104"/>
        <v/>
      </c>
      <c r="CN197" s="146" t="str">
        <f t="shared" si="105"/>
        <v/>
      </c>
      <c r="CO197" s="146" t="str">
        <f t="shared" si="106"/>
        <v/>
      </c>
      <c r="CP197" s="146" t="str">
        <f t="shared" si="107"/>
        <v/>
      </c>
      <c r="CQ197" s="146" t="str">
        <f t="shared" si="108"/>
        <v/>
      </c>
      <c r="CR197" s="146" t="str">
        <f t="shared" si="109"/>
        <v/>
      </c>
      <c r="CS197" s="146" t="str">
        <f t="shared" si="110"/>
        <v/>
      </c>
      <c r="CT197" s="146" t="str">
        <f t="shared" si="111"/>
        <v/>
      </c>
      <c r="CU197" s="146"/>
    </row>
    <row r="198" spans="1:99" ht="16.399999999999999" customHeight="1" x14ac:dyDescent="0.35">
      <c r="A198" s="145" t="str">
        <f t="shared" si="84"/>
        <v/>
      </c>
      <c r="B198" s="145" t="str">
        <f>_xlfn.IFNA(_xlfn.CONCAT(INDEX(Producer!$P:$P,MATCH($D198,Producer!$A:$A,0))," ",IF(INDEX(Producer!$N:$N,MATCH($D198,Producer!$A:$A,0))="Yes","Green ",""),IF(AND(INDEX(Producer!$L:$L,MATCH($D198,Producer!$A:$A,0))="No",INDEX(Producer!$C:$C,MATCH($D198,Producer!$A:$A,0))="Fixed"),"Flexit ",""),INDEX(Producer!$B:$B,MATCH($D198,Producer!$A:$A,0))," Year ",INDEX(Producer!$C:$C,MATCH($D198,Producer!$A:$A,0))," ",VALUE(INDEX(Producer!$E:$E,MATCH($D198,Producer!$A:$A,0)))*100,"% LTV",IF(INDEX(Producer!$N:$N,MATCH($D198,Producer!$A:$A,0))="Yes"," (EPC A-C)","")," - ",IF(INDEX(Producer!$D:$D,MATCH($D198,Producer!$A:$A,0))="DLY","Daily","Annual")),"")</f>
        <v/>
      </c>
      <c r="C198" s="146" t="str">
        <f>_xlfn.IFNA(INDEX(Producer!$Q:$Q,MATCH($D198,Producer!$A:$A,0)),"")</f>
        <v/>
      </c>
      <c r="D198" s="146" t="str">
        <f>IFERROR(VALUE(MID(Producer!$R$2,IF($D197="",1/0,FIND(_xlfn.CONCAT($D196,$D197),Producer!$R$2)+10),5)),"")</f>
        <v/>
      </c>
      <c r="E198" s="146" t="str">
        <f t="shared" si="85"/>
        <v/>
      </c>
      <c r="F198" s="146"/>
      <c r="G198" s="147" t="str">
        <f>_xlfn.IFNA(VALUE(INDEX(Producer!$F:$F,MATCH($D198,Producer!$A:$A,0)))*100,"")</f>
        <v/>
      </c>
      <c r="H198" s="216" t="str">
        <f>_xlfn.IFNA(IFERROR(DATEVALUE(INDEX(Producer!$M:$M,MATCH($D198,Producer!$A:$A,0))),(INDEX(Producer!$M:$M,MATCH($D198,Producer!$A:$A,0)))),"")</f>
        <v/>
      </c>
      <c r="I198" s="217" t="str">
        <f>_xlfn.IFNA(VALUE(INDEX(Producer!$B:$B,MATCH($D198,Producer!$A:$A,0)))*12,"")</f>
        <v/>
      </c>
      <c r="J198" s="146" t="str">
        <f>_xlfn.IFNA(IF(C198="Residential",IF(VALUE(INDEX(Producer!$B:$B,MATCH($D198,Producer!$A:$A,0)))&lt;5,Constants!$C$10,""),IF(VALUE(INDEX(Producer!$B:$B,MATCH($D198,Producer!$A:$A,0)))&lt;5,Constants!$C$11,"")),"")</f>
        <v/>
      </c>
      <c r="K198" s="216" t="str">
        <f>_xlfn.IFNA(IF(($I198)&lt;60,DATE(YEAR(H198)+(5-VALUE(INDEX(Producer!$B:$B,MATCH($D198,Producer!$A:$A,0)))),MONTH(H198),DAY(H198)),""),"")</f>
        <v/>
      </c>
      <c r="L198" s="153" t="str">
        <f t="shared" si="86"/>
        <v/>
      </c>
      <c r="M198" s="146"/>
      <c r="N198" s="148"/>
      <c r="O198" s="148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6"/>
      <c r="AK198" s="146" t="str">
        <f>IF(D198="","",IF(C198="Residential",Constants!$B$10,Constants!$B$11))</f>
        <v/>
      </c>
      <c r="AL198" s="146" t="str">
        <f t="shared" si="87"/>
        <v/>
      </c>
      <c r="AM198" s="206" t="str">
        <f t="shared" si="88"/>
        <v/>
      </c>
      <c r="AN198" s="146" t="str">
        <f t="shared" si="89"/>
        <v/>
      </c>
      <c r="AO198" s="149" t="str">
        <f t="shared" si="90"/>
        <v/>
      </c>
      <c r="AP198" s="150" t="str">
        <f t="shared" si="91"/>
        <v/>
      </c>
      <c r="AQ198" s="146" t="str">
        <f>IFERROR(_xlfn.IFNA(IF($BA198="No",0,IF(INDEX(Constants!B:B,MATCH(($I198/12),Constants!$A:$A,0))=0,0,INDEX(Constants!B:B,MATCH(($I198/12),Constants!$A:$A,0)))),0),"")</f>
        <v/>
      </c>
      <c r="AR198" s="146" t="str">
        <f>IFERROR(_xlfn.IFNA(IF($BA198="No",0,IF(INDEX(Constants!C:C,MATCH(($I198/12),Constants!$A:$A,0))=0,0,INDEX(Constants!C:C,MATCH(($I198/12),Constants!$A:$A,0)))),0),"")</f>
        <v/>
      </c>
      <c r="AS198" s="146" t="str">
        <f>IFERROR(_xlfn.IFNA(IF($BA198="No",0,IF(INDEX(Constants!D:D,MATCH(($I198/12),Constants!$A:$A,0))=0,0,INDEX(Constants!D:D,MATCH(($I198/12),Constants!$A:$A,0)))),0),"")</f>
        <v/>
      </c>
      <c r="AT198" s="146" t="str">
        <f>IFERROR(_xlfn.IFNA(IF($BA198="No",0,IF(INDEX(Constants!E:E,MATCH(($I198/12),Constants!$A:$A,0))=0,0,INDEX(Constants!E:E,MATCH(($I198/12),Constants!$A:$A,0)))),0),"")</f>
        <v/>
      </c>
      <c r="AU198" s="146" t="str">
        <f>IFERROR(_xlfn.IFNA(IF($BA198="No",0,IF(INDEX(Constants!F:F,MATCH(($I198/12),Constants!$A:$A,0))=0,0,INDEX(Constants!F:F,MATCH(($I198/12),Constants!$A:$A,0)))),0),"")</f>
        <v/>
      </c>
      <c r="AV198" s="146" t="str">
        <f>IFERROR(_xlfn.IFNA(IF($BA198="No",0,IF(INDEX(Constants!G:G,MATCH(($I198/12),Constants!$A:$A,0))=0,0,INDEX(Constants!G:G,MATCH(($I198/12),Constants!$A:$A,0)))),0),"")</f>
        <v/>
      </c>
      <c r="AW198" s="146" t="str">
        <f>IFERROR(_xlfn.IFNA(IF($BA198="No",0,IF(INDEX(Constants!H:H,MATCH(($I198/12),Constants!$A:$A,0))=0,0,INDEX(Constants!H:H,MATCH(($I198/12),Constants!$A:$A,0)))),0),"")</f>
        <v/>
      </c>
      <c r="AX198" s="146" t="str">
        <f>IFERROR(_xlfn.IFNA(IF($BA198="No",0,IF(INDEX(Constants!I:I,MATCH(($I198/12),Constants!$A:$A,0))=0,0,INDEX(Constants!I:I,MATCH(($I198/12),Constants!$A:$A,0)))),0),"")</f>
        <v/>
      </c>
      <c r="AY198" s="146" t="str">
        <f>IFERROR(_xlfn.IFNA(IF($BA198="No",0,IF(INDEX(Constants!J:J,MATCH(($I198/12),Constants!$A:$A,0))=0,0,INDEX(Constants!J:J,MATCH(($I198/12),Constants!$A:$A,0)))),0),"")</f>
        <v/>
      </c>
      <c r="AZ198" s="146" t="str">
        <f>IFERROR(_xlfn.IFNA(IF($BA198="No",0,IF(INDEX(Constants!K:K,MATCH(($I198/12),Constants!$A:$A,0))=0,0,INDEX(Constants!K:K,MATCH(($I198/12),Constants!$A:$A,0)))),0),"")</f>
        <v/>
      </c>
      <c r="BA198" s="147" t="str">
        <f>_xlfn.IFNA(INDEX(Producer!$L:$L,MATCH($D198,Producer!$A:$A,0)),"")</f>
        <v/>
      </c>
      <c r="BB198" s="146" t="str">
        <f>IFERROR(IF(AQ198=0,"",IF(($I198/12)=15,_xlfn.CONCAT(Constants!$N$7,TEXT(DATE(YEAR(H198)-(($I198/12)-3),MONTH(H198),DAY(H198)),"dd/mm/yyyy"),", ",Constants!$P$7,TEXT(DATE(YEAR(H198)-(($I198/12)-8),MONTH(H198),DAY(H198)),"dd/mm/yyyy"),", ",Constants!$T$7,TEXT(DATE(YEAR(H198)-(($I198/12)-11),MONTH(H198),DAY(H198)),"dd/mm/yyyy"),", ",Constants!$V$7,TEXT(DATE(YEAR(H198)-(($I198/12)-13),MONTH(H198),DAY(H198)),"dd/mm/yyyy"),", ",Constants!$W$7,TEXT($H198,"dd/mm/yyyy")),IF(($I198/12)=10,_xlfn.CONCAT(Constants!$N$6,TEXT(DATE(YEAR(H198)-(($I198/12)-2),MONTH(H198),DAY(H198)),"dd/mm/yyyy"),", ",Constants!$P$6,TEXT(DATE(YEAR(H198)-(($I198/12)-6),MONTH(H198),DAY(H198)),"dd/mm/yyyy"),", ",Constants!$T$6,TEXT(DATE(YEAR(H198)-(($I198/12)-8),MONTH(H198),DAY(H198)),"dd/mm/yyyy"),", ",Constants!$V$6,TEXT(DATE(YEAR(H198)-(($I198/12)-9),MONTH(H198),DAY(H198)),"dd/mm/yyyy"),", ",Constants!$W$6,TEXT($H198,"dd/mm/yyyy")),IF(($I198/12)=5,_xlfn.CONCAT(Constants!$N$5,TEXT(DATE(YEAR(H198)-(($I198/12)-1),MONTH(H198),DAY(H198)),"dd/mm/yyyy"),", ",Constants!$O$5,TEXT(DATE(YEAR(H198)-(($I198/12)-2),MONTH(H198),DAY(H198)),"dd/mm/yyyy"),", ",Constants!$P$5,TEXT(DATE(YEAR(H198)-(($I198/12)-3),MONTH(H198),DAY(H198)),"dd/mm/yyyy"),", ",Constants!$Q$5,TEXT(DATE(YEAR(H198)-(($I198/12)-4),MONTH(H198),DAY(H198)),"dd/mm/yyyy"),", ",Constants!$R$5,TEXT($H198,"dd/mm/yyyy")),IF(($I198/12)=3,_xlfn.CONCAT(Constants!$N$4,TEXT(DATE(YEAR(H198)-(($I198/12)-1),MONTH(H198),DAY(H198)),"dd/mm/yyyy"),", ",Constants!$O$4,TEXT(DATE(YEAR(H198)-(($I198/12)-2),MONTH(H198),DAY(H198)),"dd/mm/yyyy"),", ",Constants!$P$4,TEXT($H198,"dd/mm/yyyy")),IF(($I198/12)=2,_xlfn.CONCAT(Constants!$N$3,TEXT(DATE(YEAR(H198)-(($I198/12)-1),MONTH(H198),DAY(H198)),"dd/mm/yyyy"),", ",Constants!$O$3,TEXT($H198,"dd/mm/yyyy")),IF(($I198/12)=1,_xlfn.CONCAT(Constants!$N$2,TEXT($H198,"dd/mm/yyyy")),"Update Constants"))))))),"")</f>
        <v/>
      </c>
      <c r="BC198" s="147" t="str">
        <f>_xlfn.IFNA(VALUE(INDEX(Producer!$K:$K,MATCH($D198,Producer!$A:$A,0))),"")</f>
        <v/>
      </c>
      <c r="BD198" s="147" t="str">
        <f>_xlfn.IFNA(INDEX(Producer!$I:$I,MATCH($D198,Producer!$A:$A,0)),"")</f>
        <v/>
      </c>
      <c r="BE198" s="147" t="str">
        <f t="shared" si="92"/>
        <v/>
      </c>
      <c r="BF198" s="147"/>
      <c r="BG198" s="147"/>
      <c r="BH198" s="151" t="str">
        <f>_xlfn.IFNA(INDEX(Constants!$B:$B,MATCH(BC198,Constants!A:A,0)),"")</f>
        <v/>
      </c>
      <c r="BI198" s="147" t="str">
        <f>IF(LEFT(B198,15)="Limited Company",Constants!$D$16,IFERROR(_xlfn.IFNA(IF(C198="Residential",IF(BK198&lt;75,INDEX(Constants!$B:$B,MATCH(VALUE(60)/100,Constants!$A:$A,0)),INDEX(Constants!$B:$B,MATCH(VALUE(BK198)/100,Constants!$A:$A,0))),IF(BK198&lt;60,INDEX(Constants!$C:$C,MATCH(VALUE(60)/100,Constants!$A:$A,0)),INDEX(Constants!$C:$C,MATCH(VALUE(BK198)/100,Constants!$A:$A,0)))),""),""))</f>
        <v/>
      </c>
      <c r="BJ198" s="147" t="str">
        <f t="shared" si="93"/>
        <v/>
      </c>
      <c r="BK198" s="147" t="str">
        <f>_xlfn.IFNA(VALUE(INDEX(Producer!$E:$E,MATCH($D198,Producer!$A:$A,0)))*100,"")</f>
        <v/>
      </c>
      <c r="BL198" s="146" t="str">
        <f>_xlfn.IFNA(IF(IFERROR(FIND("Part &amp; Part",B198),-10)&gt;0,"PP",IF(OR(LEFT(B198,25)="Residential Interest Only",INDEX(Producer!$P:$P,MATCH($D198,Producer!$A:$A,0))="IO",INDEX(Producer!$P:$P,MATCH($D198,Producer!$A:$A,0))="Retirement Interest Only"),"IO",IF($C198="BuyToLet","CI, IO","CI"))),"")</f>
        <v/>
      </c>
      <c r="BM198" s="152" t="str">
        <f>_xlfn.IFNA(IF(BL198="IO",100%,IF(AND(INDEX(Producer!$P:$P,MATCH($D198,Producer!$A:$A,0))="Residential Interest Only Part &amp; Part",BK198=75),80%,IF(C198="BuyToLet",100%,IF(BL198="Interest Only",100%,IF(AND(INDEX(Producer!$P:$P,MATCH($D198,Producer!$A:$A,0))="Residential Interest Only Part &amp; Part",BK198=60),100%,""))))),"")</f>
        <v/>
      </c>
      <c r="BN198" s="218" t="str">
        <f>_xlfn.IFNA(IF(VALUE(INDEX(Producer!$H:$H,MATCH($D198,Producer!$A:$A,0)))=0,"",VALUE(INDEX(Producer!$H:$H,MATCH($D198,Producer!$A:$A,0)))),"")</f>
        <v/>
      </c>
      <c r="BO198" s="153"/>
      <c r="BP198" s="153"/>
      <c r="BQ198" s="219" t="str">
        <f t="shared" si="94"/>
        <v/>
      </c>
      <c r="BR198" s="146"/>
      <c r="BS198" s="146"/>
      <c r="BT198" s="146"/>
      <c r="BU198" s="146"/>
      <c r="BV198" s="219" t="str">
        <f t="shared" si="95"/>
        <v/>
      </c>
      <c r="BW198" s="146"/>
      <c r="BX198" s="146"/>
      <c r="BY198" s="146" t="str">
        <f t="shared" si="96"/>
        <v/>
      </c>
      <c r="BZ198" s="146" t="str">
        <f t="shared" si="97"/>
        <v/>
      </c>
      <c r="CA198" s="146" t="str">
        <f t="shared" si="98"/>
        <v/>
      </c>
      <c r="CB198" s="146" t="str">
        <f t="shared" si="99"/>
        <v/>
      </c>
      <c r="CC198" s="146" t="str">
        <f>_xlfn.IFNA(IF(INDEX(Producer!$P:$P,MATCH($D198,Producer!$A:$A,0))="Help to Buy","Only available","No"),"")</f>
        <v/>
      </c>
      <c r="CD198" s="146" t="str">
        <f>_xlfn.IFNA(IF(INDEX(Producer!$P:$P,MATCH($D198,Producer!$A:$A,0))="Shared Ownership","Only available","No"),"")</f>
        <v/>
      </c>
      <c r="CE198" s="146" t="str">
        <f>_xlfn.IFNA(IF(INDEX(Producer!$P:$P,MATCH($D198,Producer!$A:$A,0))="Right to Buy","Only available","No"),"")</f>
        <v/>
      </c>
      <c r="CF198" s="146" t="str">
        <f t="shared" si="100"/>
        <v/>
      </c>
      <c r="CG198" s="146" t="str">
        <f>_xlfn.IFNA(IF(INDEX(Producer!$P:$P,MATCH($D198,Producer!$A:$A,0))="Retirement Interest Only","Only available","No"),"")</f>
        <v/>
      </c>
      <c r="CH198" s="146" t="str">
        <f t="shared" si="101"/>
        <v/>
      </c>
      <c r="CI198" s="146" t="str">
        <f>_xlfn.IFNA(IF(INDEX(Producer!$P:$P,MATCH($D198,Producer!$A:$A,0))="Intermediary Holiday Let","Only available","No"),"")</f>
        <v/>
      </c>
      <c r="CJ198" s="146" t="str">
        <f t="shared" si="102"/>
        <v/>
      </c>
      <c r="CK198" s="146" t="str">
        <f>_xlfn.IFNA(IF(OR(INDEX(Producer!$P:$P,MATCH($D198,Producer!$A:$A,0))="Intermediary Small HMO",INDEX(Producer!$P:$P,MATCH($D198,Producer!$A:$A,0))="Intermediary Large HMO"),"Only available","No"),"")</f>
        <v/>
      </c>
      <c r="CL198" s="146" t="str">
        <f t="shared" si="103"/>
        <v/>
      </c>
      <c r="CM198" s="146" t="str">
        <f t="shared" si="104"/>
        <v/>
      </c>
      <c r="CN198" s="146" t="str">
        <f t="shared" si="105"/>
        <v/>
      </c>
      <c r="CO198" s="146" t="str">
        <f t="shared" si="106"/>
        <v/>
      </c>
      <c r="CP198" s="146" t="str">
        <f t="shared" si="107"/>
        <v/>
      </c>
      <c r="CQ198" s="146" t="str">
        <f t="shared" si="108"/>
        <v/>
      </c>
      <c r="CR198" s="146" t="str">
        <f t="shared" si="109"/>
        <v/>
      </c>
      <c r="CS198" s="146" t="str">
        <f t="shared" si="110"/>
        <v/>
      </c>
      <c r="CT198" s="146" t="str">
        <f t="shared" si="111"/>
        <v/>
      </c>
      <c r="CU198" s="146"/>
    </row>
    <row r="199" spans="1:99" ht="16.399999999999999" customHeight="1" x14ac:dyDescent="0.35">
      <c r="A199" s="145" t="str">
        <f t="shared" si="84"/>
        <v/>
      </c>
      <c r="B199" s="145" t="str">
        <f>_xlfn.IFNA(_xlfn.CONCAT(INDEX(Producer!$P:$P,MATCH($D199,Producer!$A:$A,0))," ",IF(INDEX(Producer!$N:$N,MATCH($D199,Producer!$A:$A,0))="Yes","Green ",""),IF(AND(INDEX(Producer!$L:$L,MATCH($D199,Producer!$A:$A,0))="No",INDEX(Producer!$C:$C,MATCH($D199,Producer!$A:$A,0))="Fixed"),"Flexit ",""),INDEX(Producer!$B:$B,MATCH($D199,Producer!$A:$A,0))," Year ",INDEX(Producer!$C:$C,MATCH($D199,Producer!$A:$A,0))," ",VALUE(INDEX(Producer!$E:$E,MATCH($D199,Producer!$A:$A,0)))*100,"% LTV",IF(INDEX(Producer!$N:$N,MATCH($D199,Producer!$A:$A,0))="Yes"," (EPC A-C)","")," - ",IF(INDEX(Producer!$D:$D,MATCH($D199,Producer!$A:$A,0))="DLY","Daily","Annual")),"")</f>
        <v/>
      </c>
      <c r="C199" s="146" t="str">
        <f>_xlfn.IFNA(INDEX(Producer!$Q:$Q,MATCH($D199,Producer!$A:$A,0)),"")</f>
        <v/>
      </c>
      <c r="D199" s="146" t="str">
        <f>IFERROR(VALUE(MID(Producer!$R$2,IF($D198="",1/0,FIND(_xlfn.CONCAT($D197,$D198),Producer!$R$2)+10),5)),"")</f>
        <v/>
      </c>
      <c r="E199" s="146" t="str">
        <f t="shared" si="85"/>
        <v/>
      </c>
      <c r="F199" s="146"/>
      <c r="G199" s="147" t="str">
        <f>_xlfn.IFNA(VALUE(INDEX(Producer!$F:$F,MATCH($D199,Producer!$A:$A,0)))*100,"")</f>
        <v/>
      </c>
      <c r="H199" s="216" t="str">
        <f>_xlfn.IFNA(IFERROR(DATEVALUE(INDEX(Producer!$M:$M,MATCH($D199,Producer!$A:$A,0))),(INDEX(Producer!$M:$M,MATCH($D199,Producer!$A:$A,0)))),"")</f>
        <v/>
      </c>
      <c r="I199" s="217" t="str">
        <f>_xlfn.IFNA(VALUE(INDEX(Producer!$B:$B,MATCH($D199,Producer!$A:$A,0)))*12,"")</f>
        <v/>
      </c>
      <c r="J199" s="146" t="str">
        <f>_xlfn.IFNA(IF(C199="Residential",IF(VALUE(INDEX(Producer!$B:$B,MATCH($D199,Producer!$A:$A,0)))&lt;5,Constants!$C$10,""),IF(VALUE(INDEX(Producer!$B:$B,MATCH($D199,Producer!$A:$A,0)))&lt;5,Constants!$C$11,"")),"")</f>
        <v/>
      </c>
      <c r="K199" s="216" t="str">
        <f>_xlfn.IFNA(IF(($I199)&lt;60,DATE(YEAR(H199)+(5-VALUE(INDEX(Producer!$B:$B,MATCH($D199,Producer!$A:$A,0)))),MONTH(H199),DAY(H199)),""),"")</f>
        <v/>
      </c>
      <c r="L199" s="153" t="str">
        <f t="shared" si="86"/>
        <v/>
      </c>
      <c r="M199" s="146"/>
      <c r="N199" s="148"/>
      <c r="O199" s="148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  <c r="AB199" s="146"/>
      <c r="AC199" s="146"/>
      <c r="AD199" s="146"/>
      <c r="AE199" s="146"/>
      <c r="AF199" s="146"/>
      <c r="AG199" s="146"/>
      <c r="AH199" s="146"/>
      <c r="AI199" s="146"/>
      <c r="AJ199" s="146"/>
      <c r="AK199" s="146" t="str">
        <f>IF(D199="","",IF(C199="Residential",Constants!$B$10,Constants!$B$11))</f>
        <v/>
      </c>
      <c r="AL199" s="146" t="str">
        <f t="shared" si="87"/>
        <v/>
      </c>
      <c r="AM199" s="206" t="str">
        <f t="shared" si="88"/>
        <v/>
      </c>
      <c r="AN199" s="146" t="str">
        <f t="shared" si="89"/>
        <v/>
      </c>
      <c r="AO199" s="149" t="str">
        <f t="shared" si="90"/>
        <v/>
      </c>
      <c r="AP199" s="150" t="str">
        <f t="shared" si="91"/>
        <v/>
      </c>
      <c r="AQ199" s="146" t="str">
        <f>IFERROR(_xlfn.IFNA(IF($BA199="No",0,IF(INDEX(Constants!B:B,MATCH(($I199/12),Constants!$A:$A,0))=0,0,INDEX(Constants!B:B,MATCH(($I199/12),Constants!$A:$A,0)))),0),"")</f>
        <v/>
      </c>
      <c r="AR199" s="146" t="str">
        <f>IFERROR(_xlfn.IFNA(IF($BA199="No",0,IF(INDEX(Constants!C:C,MATCH(($I199/12),Constants!$A:$A,0))=0,0,INDEX(Constants!C:C,MATCH(($I199/12),Constants!$A:$A,0)))),0),"")</f>
        <v/>
      </c>
      <c r="AS199" s="146" t="str">
        <f>IFERROR(_xlfn.IFNA(IF($BA199="No",0,IF(INDEX(Constants!D:D,MATCH(($I199/12),Constants!$A:$A,0))=0,0,INDEX(Constants!D:D,MATCH(($I199/12),Constants!$A:$A,0)))),0),"")</f>
        <v/>
      </c>
      <c r="AT199" s="146" t="str">
        <f>IFERROR(_xlfn.IFNA(IF($BA199="No",0,IF(INDEX(Constants!E:E,MATCH(($I199/12),Constants!$A:$A,0))=0,0,INDEX(Constants!E:E,MATCH(($I199/12),Constants!$A:$A,0)))),0),"")</f>
        <v/>
      </c>
      <c r="AU199" s="146" t="str">
        <f>IFERROR(_xlfn.IFNA(IF($BA199="No",0,IF(INDEX(Constants!F:F,MATCH(($I199/12),Constants!$A:$A,0))=0,0,INDEX(Constants!F:F,MATCH(($I199/12),Constants!$A:$A,0)))),0),"")</f>
        <v/>
      </c>
      <c r="AV199" s="146" t="str">
        <f>IFERROR(_xlfn.IFNA(IF($BA199="No",0,IF(INDEX(Constants!G:G,MATCH(($I199/12),Constants!$A:$A,0))=0,0,INDEX(Constants!G:G,MATCH(($I199/12),Constants!$A:$A,0)))),0),"")</f>
        <v/>
      </c>
      <c r="AW199" s="146" t="str">
        <f>IFERROR(_xlfn.IFNA(IF($BA199="No",0,IF(INDEX(Constants!H:H,MATCH(($I199/12),Constants!$A:$A,0))=0,0,INDEX(Constants!H:H,MATCH(($I199/12),Constants!$A:$A,0)))),0),"")</f>
        <v/>
      </c>
      <c r="AX199" s="146" t="str">
        <f>IFERROR(_xlfn.IFNA(IF($BA199="No",0,IF(INDEX(Constants!I:I,MATCH(($I199/12),Constants!$A:$A,0))=0,0,INDEX(Constants!I:I,MATCH(($I199/12),Constants!$A:$A,0)))),0),"")</f>
        <v/>
      </c>
      <c r="AY199" s="146" t="str">
        <f>IFERROR(_xlfn.IFNA(IF($BA199="No",0,IF(INDEX(Constants!J:J,MATCH(($I199/12),Constants!$A:$A,0))=0,0,INDEX(Constants!J:J,MATCH(($I199/12),Constants!$A:$A,0)))),0),"")</f>
        <v/>
      </c>
      <c r="AZ199" s="146" t="str">
        <f>IFERROR(_xlfn.IFNA(IF($BA199="No",0,IF(INDEX(Constants!K:K,MATCH(($I199/12),Constants!$A:$A,0))=0,0,INDEX(Constants!K:K,MATCH(($I199/12),Constants!$A:$A,0)))),0),"")</f>
        <v/>
      </c>
      <c r="BA199" s="147" t="str">
        <f>_xlfn.IFNA(INDEX(Producer!$L:$L,MATCH($D199,Producer!$A:$A,0)),"")</f>
        <v/>
      </c>
      <c r="BB199" s="146" t="str">
        <f>IFERROR(IF(AQ199=0,"",IF(($I199/12)=15,_xlfn.CONCAT(Constants!$N$7,TEXT(DATE(YEAR(H199)-(($I199/12)-3),MONTH(H199),DAY(H199)),"dd/mm/yyyy"),", ",Constants!$P$7,TEXT(DATE(YEAR(H199)-(($I199/12)-8),MONTH(H199),DAY(H199)),"dd/mm/yyyy"),", ",Constants!$T$7,TEXT(DATE(YEAR(H199)-(($I199/12)-11),MONTH(H199),DAY(H199)),"dd/mm/yyyy"),", ",Constants!$V$7,TEXT(DATE(YEAR(H199)-(($I199/12)-13),MONTH(H199),DAY(H199)),"dd/mm/yyyy"),", ",Constants!$W$7,TEXT($H199,"dd/mm/yyyy")),IF(($I199/12)=10,_xlfn.CONCAT(Constants!$N$6,TEXT(DATE(YEAR(H199)-(($I199/12)-2),MONTH(H199),DAY(H199)),"dd/mm/yyyy"),", ",Constants!$P$6,TEXT(DATE(YEAR(H199)-(($I199/12)-6),MONTH(H199),DAY(H199)),"dd/mm/yyyy"),", ",Constants!$T$6,TEXT(DATE(YEAR(H199)-(($I199/12)-8),MONTH(H199),DAY(H199)),"dd/mm/yyyy"),", ",Constants!$V$6,TEXT(DATE(YEAR(H199)-(($I199/12)-9),MONTH(H199),DAY(H199)),"dd/mm/yyyy"),", ",Constants!$W$6,TEXT($H199,"dd/mm/yyyy")),IF(($I199/12)=5,_xlfn.CONCAT(Constants!$N$5,TEXT(DATE(YEAR(H199)-(($I199/12)-1),MONTH(H199),DAY(H199)),"dd/mm/yyyy"),", ",Constants!$O$5,TEXT(DATE(YEAR(H199)-(($I199/12)-2),MONTH(H199),DAY(H199)),"dd/mm/yyyy"),", ",Constants!$P$5,TEXT(DATE(YEAR(H199)-(($I199/12)-3),MONTH(H199),DAY(H199)),"dd/mm/yyyy"),", ",Constants!$Q$5,TEXT(DATE(YEAR(H199)-(($I199/12)-4),MONTH(H199),DAY(H199)),"dd/mm/yyyy"),", ",Constants!$R$5,TEXT($H199,"dd/mm/yyyy")),IF(($I199/12)=3,_xlfn.CONCAT(Constants!$N$4,TEXT(DATE(YEAR(H199)-(($I199/12)-1),MONTH(H199),DAY(H199)),"dd/mm/yyyy"),", ",Constants!$O$4,TEXT(DATE(YEAR(H199)-(($I199/12)-2),MONTH(H199),DAY(H199)),"dd/mm/yyyy"),", ",Constants!$P$4,TEXT($H199,"dd/mm/yyyy")),IF(($I199/12)=2,_xlfn.CONCAT(Constants!$N$3,TEXT(DATE(YEAR(H199)-(($I199/12)-1),MONTH(H199),DAY(H199)),"dd/mm/yyyy"),", ",Constants!$O$3,TEXT($H199,"dd/mm/yyyy")),IF(($I199/12)=1,_xlfn.CONCAT(Constants!$N$2,TEXT($H199,"dd/mm/yyyy")),"Update Constants"))))))),"")</f>
        <v/>
      </c>
      <c r="BC199" s="147" t="str">
        <f>_xlfn.IFNA(VALUE(INDEX(Producer!$K:$K,MATCH($D199,Producer!$A:$A,0))),"")</f>
        <v/>
      </c>
      <c r="BD199" s="147" t="str">
        <f>_xlfn.IFNA(INDEX(Producer!$I:$I,MATCH($D199,Producer!$A:$A,0)),"")</f>
        <v/>
      </c>
      <c r="BE199" s="147" t="str">
        <f t="shared" si="92"/>
        <v/>
      </c>
      <c r="BF199" s="147"/>
      <c r="BG199" s="147"/>
      <c r="BH199" s="151" t="str">
        <f>_xlfn.IFNA(INDEX(Constants!$B:$B,MATCH(BC199,Constants!A:A,0)),"")</f>
        <v/>
      </c>
      <c r="BI199" s="147" t="str">
        <f>IF(LEFT(B199,15)="Limited Company",Constants!$D$16,IFERROR(_xlfn.IFNA(IF(C199="Residential",IF(BK199&lt;75,INDEX(Constants!$B:$B,MATCH(VALUE(60)/100,Constants!$A:$A,0)),INDEX(Constants!$B:$B,MATCH(VALUE(BK199)/100,Constants!$A:$A,0))),IF(BK199&lt;60,INDEX(Constants!$C:$C,MATCH(VALUE(60)/100,Constants!$A:$A,0)),INDEX(Constants!$C:$C,MATCH(VALUE(BK199)/100,Constants!$A:$A,0)))),""),""))</f>
        <v/>
      </c>
      <c r="BJ199" s="147" t="str">
        <f t="shared" si="93"/>
        <v/>
      </c>
      <c r="BK199" s="147" t="str">
        <f>_xlfn.IFNA(VALUE(INDEX(Producer!$E:$E,MATCH($D199,Producer!$A:$A,0)))*100,"")</f>
        <v/>
      </c>
      <c r="BL199" s="146" t="str">
        <f>_xlfn.IFNA(IF(IFERROR(FIND("Part &amp; Part",B199),-10)&gt;0,"PP",IF(OR(LEFT(B199,25)="Residential Interest Only",INDEX(Producer!$P:$P,MATCH($D199,Producer!$A:$A,0))="IO",INDEX(Producer!$P:$P,MATCH($D199,Producer!$A:$A,0))="Retirement Interest Only"),"IO",IF($C199="BuyToLet","CI, IO","CI"))),"")</f>
        <v/>
      </c>
      <c r="BM199" s="152" t="str">
        <f>_xlfn.IFNA(IF(BL199="IO",100%,IF(AND(INDEX(Producer!$P:$P,MATCH($D199,Producer!$A:$A,0))="Residential Interest Only Part &amp; Part",BK199=75),80%,IF(C199="BuyToLet",100%,IF(BL199="Interest Only",100%,IF(AND(INDEX(Producer!$P:$P,MATCH($D199,Producer!$A:$A,0))="Residential Interest Only Part &amp; Part",BK199=60),100%,""))))),"")</f>
        <v/>
      </c>
      <c r="BN199" s="218" t="str">
        <f>_xlfn.IFNA(IF(VALUE(INDEX(Producer!$H:$H,MATCH($D199,Producer!$A:$A,0)))=0,"",VALUE(INDEX(Producer!$H:$H,MATCH($D199,Producer!$A:$A,0)))),"")</f>
        <v/>
      </c>
      <c r="BO199" s="153"/>
      <c r="BP199" s="153"/>
      <c r="BQ199" s="219" t="str">
        <f t="shared" si="94"/>
        <v/>
      </c>
      <c r="BR199" s="146"/>
      <c r="BS199" s="146"/>
      <c r="BT199" s="146"/>
      <c r="BU199" s="146"/>
      <c r="BV199" s="219" t="str">
        <f t="shared" si="95"/>
        <v/>
      </c>
      <c r="BW199" s="146"/>
      <c r="BX199" s="146"/>
      <c r="BY199" s="146" t="str">
        <f t="shared" si="96"/>
        <v/>
      </c>
      <c r="BZ199" s="146" t="str">
        <f t="shared" si="97"/>
        <v/>
      </c>
      <c r="CA199" s="146" t="str">
        <f t="shared" si="98"/>
        <v/>
      </c>
      <c r="CB199" s="146" t="str">
        <f t="shared" si="99"/>
        <v/>
      </c>
      <c r="CC199" s="146" t="str">
        <f>_xlfn.IFNA(IF(INDEX(Producer!$P:$P,MATCH($D199,Producer!$A:$A,0))="Help to Buy","Only available","No"),"")</f>
        <v/>
      </c>
      <c r="CD199" s="146" t="str">
        <f>_xlfn.IFNA(IF(INDEX(Producer!$P:$P,MATCH($D199,Producer!$A:$A,0))="Shared Ownership","Only available","No"),"")</f>
        <v/>
      </c>
      <c r="CE199" s="146" t="str">
        <f>_xlfn.IFNA(IF(INDEX(Producer!$P:$P,MATCH($D199,Producer!$A:$A,0))="Right to Buy","Only available","No"),"")</f>
        <v/>
      </c>
      <c r="CF199" s="146" t="str">
        <f t="shared" si="100"/>
        <v/>
      </c>
      <c r="CG199" s="146" t="str">
        <f>_xlfn.IFNA(IF(INDEX(Producer!$P:$P,MATCH($D199,Producer!$A:$A,0))="Retirement Interest Only","Only available","No"),"")</f>
        <v/>
      </c>
      <c r="CH199" s="146" t="str">
        <f t="shared" si="101"/>
        <v/>
      </c>
      <c r="CI199" s="146" t="str">
        <f>_xlfn.IFNA(IF(INDEX(Producer!$P:$P,MATCH($D199,Producer!$A:$A,0))="Intermediary Holiday Let","Only available","No"),"")</f>
        <v/>
      </c>
      <c r="CJ199" s="146" t="str">
        <f t="shared" si="102"/>
        <v/>
      </c>
      <c r="CK199" s="146" t="str">
        <f>_xlfn.IFNA(IF(OR(INDEX(Producer!$P:$P,MATCH($D199,Producer!$A:$A,0))="Intermediary Small HMO",INDEX(Producer!$P:$P,MATCH($D199,Producer!$A:$A,0))="Intermediary Large HMO"),"Only available","No"),"")</f>
        <v/>
      </c>
      <c r="CL199" s="146" t="str">
        <f t="shared" si="103"/>
        <v/>
      </c>
      <c r="CM199" s="146" t="str">
        <f t="shared" si="104"/>
        <v/>
      </c>
      <c r="CN199" s="146" t="str">
        <f t="shared" si="105"/>
        <v/>
      </c>
      <c r="CO199" s="146" t="str">
        <f t="shared" si="106"/>
        <v/>
      </c>
      <c r="CP199" s="146" t="str">
        <f t="shared" si="107"/>
        <v/>
      </c>
      <c r="CQ199" s="146" t="str">
        <f t="shared" si="108"/>
        <v/>
      </c>
      <c r="CR199" s="146" t="str">
        <f t="shared" si="109"/>
        <v/>
      </c>
      <c r="CS199" s="146" t="str">
        <f t="shared" si="110"/>
        <v/>
      </c>
      <c r="CT199" s="146" t="str">
        <f t="shared" si="111"/>
        <v/>
      </c>
      <c r="CU199" s="146"/>
    </row>
    <row r="200" spans="1:99" ht="16.399999999999999" customHeight="1" x14ac:dyDescent="0.35">
      <c r="A200" s="145" t="str">
        <f t="shared" si="84"/>
        <v/>
      </c>
      <c r="B200" s="145" t="str">
        <f>_xlfn.IFNA(_xlfn.CONCAT(INDEX(Producer!$P:$P,MATCH($D200,Producer!$A:$A,0))," ",IF(INDEX(Producer!$N:$N,MATCH($D200,Producer!$A:$A,0))="Yes","Green ",""),IF(AND(INDEX(Producer!$L:$L,MATCH($D200,Producer!$A:$A,0))="No",INDEX(Producer!$C:$C,MATCH($D200,Producer!$A:$A,0))="Fixed"),"Flexit ",""),INDEX(Producer!$B:$B,MATCH($D200,Producer!$A:$A,0))," Year ",INDEX(Producer!$C:$C,MATCH($D200,Producer!$A:$A,0))," ",VALUE(INDEX(Producer!$E:$E,MATCH($D200,Producer!$A:$A,0)))*100,"% LTV",IF(INDEX(Producer!$N:$N,MATCH($D200,Producer!$A:$A,0))="Yes"," (EPC A-C)","")," - ",IF(INDEX(Producer!$D:$D,MATCH($D200,Producer!$A:$A,0))="DLY","Daily","Annual")),"")</f>
        <v/>
      </c>
      <c r="C200" s="146" t="str">
        <f>_xlfn.IFNA(INDEX(Producer!$Q:$Q,MATCH($D200,Producer!$A:$A,0)),"")</f>
        <v/>
      </c>
      <c r="D200" s="146" t="str">
        <f>IFERROR(VALUE(MID(Producer!$R$2,IF($D199="",1/0,FIND(_xlfn.CONCAT($D198,$D199),Producer!$R$2)+10),5)),"")</f>
        <v/>
      </c>
      <c r="E200" s="146" t="str">
        <f t="shared" si="85"/>
        <v/>
      </c>
      <c r="F200" s="146"/>
      <c r="G200" s="147" t="str">
        <f>_xlfn.IFNA(VALUE(INDEX(Producer!$F:$F,MATCH($D200,Producer!$A:$A,0)))*100,"")</f>
        <v/>
      </c>
      <c r="H200" s="216" t="str">
        <f>_xlfn.IFNA(IFERROR(DATEVALUE(INDEX(Producer!$M:$M,MATCH($D200,Producer!$A:$A,0))),(INDEX(Producer!$M:$M,MATCH($D200,Producer!$A:$A,0)))),"")</f>
        <v/>
      </c>
      <c r="I200" s="217" t="str">
        <f>_xlfn.IFNA(VALUE(INDEX(Producer!$B:$B,MATCH($D200,Producer!$A:$A,0)))*12,"")</f>
        <v/>
      </c>
      <c r="J200" s="146" t="str">
        <f>_xlfn.IFNA(IF(C200="Residential",IF(VALUE(INDEX(Producer!$B:$B,MATCH($D200,Producer!$A:$A,0)))&lt;5,Constants!$C$10,""),IF(VALUE(INDEX(Producer!$B:$B,MATCH($D200,Producer!$A:$A,0)))&lt;5,Constants!$C$11,"")),"")</f>
        <v/>
      </c>
      <c r="K200" s="216" t="str">
        <f>_xlfn.IFNA(IF(($I200)&lt;60,DATE(YEAR(H200)+(5-VALUE(INDEX(Producer!$B:$B,MATCH($D200,Producer!$A:$A,0)))),MONTH(H200),DAY(H200)),""),"")</f>
        <v/>
      </c>
      <c r="L200" s="153" t="str">
        <f t="shared" si="86"/>
        <v/>
      </c>
      <c r="M200" s="146"/>
      <c r="N200" s="148"/>
      <c r="O200" s="148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 t="str">
        <f>IF(D200="","",IF(C200="Residential",Constants!$B$10,Constants!$B$11))</f>
        <v/>
      </c>
      <c r="AL200" s="146" t="str">
        <f t="shared" si="87"/>
        <v/>
      </c>
      <c r="AM200" s="206" t="str">
        <f t="shared" si="88"/>
        <v/>
      </c>
      <c r="AN200" s="146" t="str">
        <f t="shared" si="89"/>
        <v/>
      </c>
      <c r="AO200" s="149" t="str">
        <f t="shared" si="90"/>
        <v/>
      </c>
      <c r="AP200" s="150" t="str">
        <f t="shared" si="91"/>
        <v/>
      </c>
      <c r="AQ200" s="146" t="str">
        <f>IFERROR(_xlfn.IFNA(IF($BA200="No",0,IF(INDEX(Constants!B:B,MATCH(($I200/12),Constants!$A:$A,0))=0,0,INDEX(Constants!B:B,MATCH(($I200/12),Constants!$A:$A,0)))),0),"")</f>
        <v/>
      </c>
      <c r="AR200" s="146" t="str">
        <f>IFERROR(_xlfn.IFNA(IF($BA200="No",0,IF(INDEX(Constants!C:C,MATCH(($I200/12),Constants!$A:$A,0))=0,0,INDEX(Constants!C:C,MATCH(($I200/12),Constants!$A:$A,0)))),0),"")</f>
        <v/>
      </c>
      <c r="AS200" s="146" t="str">
        <f>IFERROR(_xlfn.IFNA(IF($BA200="No",0,IF(INDEX(Constants!D:D,MATCH(($I200/12),Constants!$A:$A,0))=0,0,INDEX(Constants!D:D,MATCH(($I200/12),Constants!$A:$A,0)))),0),"")</f>
        <v/>
      </c>
      <c r="AT200" s="146" t="str">
        <f>IFERROR(_xlfn.IFNA(IF($BA200="No",0,IF(INDEX(Constants!E:E,MATCH(($I200/12),Constants!$A:$A,0))=0,0,INDEX(Constants!E:E,MATCH(($I200/12),Constants!$A:$A,0)))),0),"")</f>
        <v/>
      </c>
      <c r="AU200" s="146" t="str">
        <f>IFERROR(_xlfn.IFNA(IF($BA200="No",0,IF(INDEX(Constants!F:F,MATCH(($I200/12),Constants!$A:$A,0))=0,0,INDEX(Constants!F:F,MATCH(($I200/12),Constants!$A:$A,0)))),0),"")</f>
        <v/>
      </c>
      <c r="AV200" s="146" t="str">
        <f>IFERROR(_xlfn.IFNA(IF($BA200="No",0,IF(INDEX(Constants!G:G,MATCH(($I200/12),Constants!$A:$A,0))=0,0,INDEX(Constants!G:G,MATCH(($I200/12),Constants!$A:$A,0)))),0),"")</f>
        <v/>
      </c>
      <c r="AW200" s="146" t="str">
        <f>IFERROR(_xlfn.IFNA(IF($BA200="No",0,IF(INDEX(Constants!H:H,MATCH(($I200/12),Constants!$A:$A,0))=0,0,INDEX(Constants!H:H,MATCH(($I200/12),Constants!$A:$A,0)))),0),"")</f>
        <v/>
      </c>
      <c r="AX200" s="146" t="str">
        <f>IFERROR(_xlfn.IFNA(IF($BA200="No",0,IF(INDEX(Constants!I:I,MATCH(($I200/12),Constants!$A:$A,0))=0,0,INDEX(Constants!I:I,MATCH(($I200/12),Constants!$A:$A,0)))),0),"")</f>
        <v/>
      </c>
      <c r="AY200" s="146" t="str">
        <f>IFERROR(_xlfn.IFNA(IF($BA200="No",0,IF(INDEX(Constants!J:J,MATCH(($I200/12),Constants!$A:$A,0))=0,0,INDEX(Constants!J:J,MATCH(($I200/12),Constants!$A:$A,0)))),0),"")</f>
        <v/>
      </c>
      <c r="AZ200" s="146" t="str">
        <f>IFERROR(_xlfn.IFNA(IF($BA200="No",0,IF(INDEX(Constants!K:K,MATCH(($I200/12),Constants!$A:$A,0))=0,0,INDEX(Constants!K:K,MATCH(($I200/12),Constants!$A:$A,0)))),0),"")</f>
        <v/>
      </c>
      <c r="BA200" s="147" t="str">
        <f>_xlfn.IFNA(INDEX(Producer!$L:$L,MATCH($D200,Producer!$A:$A,0)),"")</f>
        <v/>
      </c>
      <c r="BB200" s="146" t="str">
        <f>IFERROR(IF(AQ200=0,"",IF(($I200/12)=15,_xlfn.CONCAT(Constants!$N$7,TEXT(DATE(YEAR(H200)-(($I200/12)-3),MONTH(H200),DAY(H200)),"dd/mm/yyyy"),", ",Constants!$P$7,TEXT(DATE(YEAR(H200)-(($I200/12)-8),MONTH(H200),DAY(H200)),"dd/mm/yyyy"),", ",Constants!$T$7,TEXT(DATE(YEAR(H200)-(($I200/12)-11),MONTH(H200),DAY(H200)),"dd/mm/yyyy"),", ",Constants!$V$7,TEXT(DATE(YEAR(H200)-(($I200/12)-13),MONTH(H200),DAY(H200)),"dd/mm/yyyy"),", ",Constants!$W$7,TEXT($H200,"dd/mm/yyyy")),IF(($I200/12)=10,_xlfn.CONCAT(Constants!$N$6,TEXT(DATE(YEAR(H200)-(($I200/12)-2),MONTH(H200),DAY(H200)),"dd/mm/yyyy"),", ",Constants!$P$6,TEXT(DATE(YEAR(H200)-(($I200/12)-6),MONTH(H200),DAY(H200)),"dd/mm/yyyy"),", ",Constants!$T$6,TEXT(DATE(YEAR(H200)-(($I200/12)-8),MONTH(H200),DAY(H200)),"dd/mm/yyyy"),", ",Constants!$V$6,TEXT(DATE(YEAR(H200)-(($I200/12)-9),MONTH(H200),DAY(H200)),"dd/mm/yyyy"),", ",Constants!$W$6,TEXT($H200,"dd/mm/yyyy")),IF(($I200/12)=5,_xlfn.CONCAT(Constants!$N$5,TEXT(DATE(YEAR(H200)-(($I200/12)-1),MONTH(H200),DAY(H200)),"dd/mm/yyyy"),", ",Constants!$O$5,TEXT(DATE(YEAR(H200)-(($I200/12)-2),MONTH(H200),DAY(H200)),"dd/mm/yyyy"),", ",Constants!$P$5,TEXT(DATE(YEAR(H200)-(($I200/12)-3),MONTH(H200),DAY(H200)),"dd/mm/yyyy"),", ",Constants!$Q$5,TEXT(DATE(YEAR(H200)-(($I200/12)-4),MONTH(H200),DAY(H200)),"dd/mm/yyyy"),", ",Constants!$R$5,TEXT($H200,"dd/mm/yyyy")),IF(($I200/12)=3,_xlfn.CONCAT(Constants!$N$4,TEXT(DATE(YEAR(H200)-(($I200/12)-1),MONTH(H200),DAY(H200)),"dd/mm/yyyy"),", ",Constants!$O$4,TEXT(DATE(YEAR(H200)-(($I200/12)-2),MONTH(H200),DAY(H200)),"dd/mm/yyyy"),", ",Constants!$P$4,TEXT($H200,"dd/mm/yyyy")),IF(($I200/12)=2,_xlfn.CONCAT(Constants!$N$3,TEXT(DATE(YEAR(H200)-(($I200/12)-1),MONTH(H200),DAY(H200)),"dd/mm/yyyy"),", ",Constants!$O$3,TEXT($H200,"dd/mm/yyyy")),IF(($I200/12)=1,_xlfn.CONCAT(Constants!$N$2,TEXT($H200,"dd/mm/yyyy")),"Update Constants"))))))),"")</f>
        <v/>
      </c>
      <c r="BC200" s="147" t="str">
        <f>_xlfn.IFNA(VALUE(INDEX(Producer!$K:$K,MATCH($D200,Producer!$A:$A,0))),"")</f>
        <v/>
      </c>
      <c r="BD200" s="147" t="str">
        <f>_xlfn.IFNA(INDEX(Producer!$I:$I,MATCH($D200,Producer!$A:$A,0)),"")</f>
        <v/>
      </c>
      <c r="BE200" s="147" t="str">
        <f t="shared" si="92"/>
        <v/>
      </c>
      <c r="BF200" s="147"/>
      <c r="BG200" s="147"/>
      <c r="BH200" s="151" t="str">
        <f>_xlfn.IFNA(INDEX(Constants!$B:$B,MATCH(BC200,Constants!A:A,0)),"")</f>
        <v/>
      </c>
      <c r="BI200" s="147" t="str">
        <f>IF(LEFT(B200,15)="Limited Company",Constants!$D$16,IFERROR(_xlfn.IFNA(IF(C200="Residential",IF(BK200&lt;75,INDEX(Constants!$B:$B,MATCH(VALUE(60)/100,Constants!$A:$A,0)),INDEX(Constants!$B:$B,MATCH(VALUE(BK200)/100,Constants!$A:$A,0))),IF(BK200&lt;60,INDEX(Constants!$C:$C,MATCH(VALUE(60)/100,Constants!$A:$A,0)),INDEX(Constants!$C:$C,MATCH(VALUE(BK200)/100,Constants!$A:$A,0)))),""),""))</f>
        <v/>
      </c>
      <c r="BJ200" s="147" t="str">
        <f t="shared" si="93"/>
        <v/>
      </c>
      <c r="BK200" s="147" t="str">
        <f>_xlfn.IFNA(VALUE(INDEX(Producer!$E:$E,MATCH($D200,Producer!$A:$A,0)))*100,"")</f>
        <v/>
      </c>
      <c r="BL200" s="146" t="str">
        <f>_xlfn.IFNA(IF(IFERROR(FIND("Part &amp; Part",B200),-10)&gt;0,"PP",IF(OR(LEFT(B200,25)="Residential Interest Only",INDEX(Producer!$P:$P,MATCH($D200,Producer!$A:$A,0))="IO",INDEX(Producer!$P:$P,MATCH($D200,Producer!$A:$A,0))="Retirement Interest Only"),"IO",IF($C200="BuyToLet","CI, IO","CI"))),"")</f>
        <v/>
      </c>
      <c r="BM200" s="152" t="str">
        <f>_xlfn.IFNA(IF(BL200="IO",100%,IF(AND(INDEX(Producer!$P:$P,MATCH($D200,Producer!$A:$A,0))="Residential Interest Only Part &amp; Part",BK200=75),80%,IF(C200="BuyToLet",100%,IF(BL200="Interest Only",100%,IF(AND(INDEX(Producer!$P:$P,MATCH($D200,Producer!$A:$A,0))="Residential Interest Only Part &amp; Part",BK200=60),100%,""))))),"")</f>
        <v/>
      </c>
      <c r="BN200" s="218" t="str">
        <f>_xlfn.IFNA(IF(VALUE(INDEX(Producer!$H:$H,MATCH($D200,Producer!$A:$A,0)))=0,"",VALUE(INDEX(Producer!$H:$H,MATCH($D200,Producer!$A:$A,0)))),"")</f>
        <v/>
      </c>
      <c r="BO200" s="153"/>
      <c r="BP200" s="153"/>
      <c r="BQ200" s="219" t="str">
        <f t="shared" si="94"/>
        <v/>
      </c>
      <c r="BR200" s="146"/>
      <c r="BS200" s="146"/>
      <c r="BT200" s="146"/>
      <c r="BU200" s="146"/>
      <c r="BV200" s="219" t="str">
        <f t="shared" si="95"/>
        <v/>
      </c>
      <c r="BW200" s="146"/>
      <c r="BX200" s="146"/>
      <c r="BY200" s="146" t="str">
        <f t="shared" si="96"/>
        <v/>
      </c>
      <c r="BZ200" s="146" t="str">
        <f t="shared" si="97"/>
        <v/>
      </c>
      <c r="CA200" s="146" t="str">
        <f t="shared" si="98"/>
        <v/>
      </c>
      <c r="CB200" s="146" t="str">
        <f t="shared" si="99"/>
        <v/>
      </c>
      <c r="CC200" s="146" t="str">
        <f>_xlfn.IFNA(IF(INDEX(Producer!$P:$P,MATCH($D200,Producer!$A:$A,0))="Help to Buy","Only available","No"),"")</f>
        <v/>
      </c>
      <c r="CD200" s="146" t="str">
        <f>_xlfn.IFNA(IF(INDEX(Producer!$P:$P,MATCH($D200,Producer!$A:$A,0))="Shared Ownership","Only available","No"),"")</f>
        <v/>
      </c>
      <c r="CE200" s="146" t="str">
        <f>_xlfn.IFNA(IF(INDEX(Producer!$P:$P,MATCH($D200,Producer!$A:$A,0))="Right to Buy","Only available","No"),"")</f>
        <v/>
      </c>
      <c r="CF200" s="146" t="str">
        <f t="shared" si="100"/>
        <v/>
      </c>
      <c r="CG200" s="146" t="str">
        <f>_xlfn.IFNA(IF(INDEX(Producer!$P:$P,MATCH($D200,Producer!$A:$A,0))="Retirement Interest Only","Only available","No"),"")</f>
        <v/>
      </c>
      <c r="CH200" s="146" t="str">
        <f t="shared" si="101"/>
        <v/>
      </c>
      <c r="CI200" s="146" t="str">
        <f>_xlfn.IFNA(IF(INDEX(Producer!$P:$P,MATCH($D200,Producer!$A:$A,0))="Intermediary Holiday Let","Only available","No"),"")</f>
        <v/>
      </c>
      <c r="CJ200" s="146" t="str">
        <f t="shared" si="102"/>
        <v/>
      </c>
      <c r="CK200" s="146" t="str">
        <f>_xlfn.IFNA(IF(OR(INDEX(Producer!$P:$P,MATCH($D200,Producer!$A:$A,0))="Intermediary Small HMO",INDEX(Producer!$P:$P,MATCH($D200,Producer!$A:$A,0))="Intermediary Large HMO"),"Only available","No"),"")</f>
        <v/>
      </c>
      <c r="CL200" s="146" t="str">
        <f t="shared" si="103"/>
        <v/>
      </c>
      <c r="CM200" s="146" t="str">
        <f t="shared" si="104"/>
        <v/>
      </c>
      <c r="CN200" s="146" t="str">
        <f t="shared" si="105"/>
        <v/>
      </c>
      <c r="CO200" s="146" t="str">
        <f t="shared" si="106"/>
        <v/>
      </c>
      <c r="CP200" s="146" t="str">
        <f t="shared" si="107"/>
        <v/>
      </c>
      <c r="CQ200" s="146" t="str">
        <f t="shared" si="108"/>
        <v/>
      </c>
      <c r="CR200" s="146" t="str">
        <f t="shared" si="109"/>
        <v/>
      </c>
      <c r="CS200" s="146" t="str">
        <f t="shared" si="110"/>
        <v/>
      </c>
      <c r="CT200" s="146" t="str">
        <f t="shared" si="111"/>
        <v/>
      </c>
      <c r="CU200" s="146"/>
    </row>
    <row r="201" spans="1:99" ht="16.399999999999999" customHeight="1" x14ac:dyDescent="0.35">
      <c r="A201" s="145" t="str">
        <f t="shared" si="84"/>
        <v/>
      </c>
      <c r="B201" s="145" t="str">
        <f>_xlfn.IFNA(_xlfn.CONCAT(INDEX(Producer!$P:$P,MATCH($D201,Producer!$A:$A,0))," ",IF(INDEX(Producer!$N:$N,MATCH($D201,Producer!$A:$A,0))="Yes","Green ",""),IF(AND(INDEX(Producer!$L:$L,MATCH($D201,Producer!$A:$A,0))="No",INDEX(Producer!$C:$C,MATCH($D201,Producer!$A:$A,0))="Fixed"),"Flexit ",""),INDEX(Producer!$B:$B,MATCH($D201,Producer!$A:$A,0))," Year ",INDEX(Producer!$C:$C,MATCH($D201,Producer!$A:$A,0))," ",VALUE(INDEX(Producer!$E:$E,MATCH($D201,Producer!$A:$A,0)))*100,"% LTV",IF(INDEX(Producer!$N:$N,MATCH($D201,Producer!$A:$A,0))="Yes"," (EPC A-C)","")," - ",IF(INDEX(Producer!$D:$D,MATCH($D201,Producer!$A:$A,0))="DLY","Daily","Annual")),"")</f>
        <v/>
      </c>
      <c r="C201" s="146" t="str">
        <f>_xlfn.IFNA(INDEX(Producer!$Q:$Q,MATCH($D201,Producer!$A:$A,0)),"")</f>
        <v/>
      </c>
      <c r="D201" s="146" t="str">
        <f>IFERROR(VALUE(MID(Producer!$R$2,IF($D200="",1/0,FIND(_xlfn.CONCAT($D199,$D200),Producer!$R$2)+10),5)),"")</f>
        <v/>
      </c>
      <c r="E201" s="146" t="str">
        <f t="shared" si="85"/>
        <v/>
      </c>
      <c r="F201" s="146"/>
      <c r="G201" s="147" t="str">
        <f>_xlfn.IFNA(VALUE(INDEX(Producer!$F:$F,MATCH($D201,Producer!$A:$A,0)))*100,"")</f>
        <v/>
      </c>
      <c r="H201" s="216" t="str">
        <f>_xlfn.IFNA(IFERROR(DATEVALUE(INDEX(Producer!$M:$M,MATCH($D201,Producer!$A:$A,0))),(INDEX(Producer!$M:$M,MATCH($D201,Producer!$A:$A,0)))),"")</f>
        <v/>
      </c>
      <c r="I201" s="217" t="str">
        <f>_xlfn.IFNA(VALUE(INDEX(Producer!$B:$B,MATCH($D201,Producer!$A:$A,0)))*12,"")</f>
        <v/>
      </c>
      <c r="J201" s="146" t="str">
        <f>_xlfn.IFNA(IF(C201="Residential",IF(VALUE(INDEX(Producer!$B:$B,MATCH($D201,Producer!$A:$A,0)))&lt;5,Constants!$C$10,""),IF(VALUE(INDEX(Producer!$B:$B,MATCH($D201,Producer!$A:$A,0)))&lt;5,Constants!$C$11,"")),"")</f>
        <v/>
      </c>
      <c r="K201" s="216" t="str">
        <f>_xlfn.IFNA(IF(($I201)&lt;60,DATE(YEAR(H201)+(5-VALUE(INDEX(Producer!$B:$B,MATCH($D201,Producer!$A:$A,0)))),MONTH(H201),DAY(H201)),""),"")</f>
        <v/>
      </c>
      <c r="L201" s="153" t="str">
        <f t="shared" si="86"/>
        <v/>
      </c>
      <c r="M201" s="146"/>
      <c r="N201" s="148"/>
      <c r="O201" s="148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  <c r="AC201" s="146"/>
      <c r="AD201" s="146"/>
      <c r="AE201" s="146"/>
      <c r="AF201" s="146"/>
      <c r="AG201" s="146"/>
      <c r="AH201" s="146"/>
      <c r="AI201" s="146"/>
      <c r="AJ201" s="146"/>
      <c r="AK201" s="146" t="str">
        <f>IF(D201="","",IF(C201="Residential",Constants!$B$10,Constants!$B$11))</f>
        <v/>
      </c>
      <c r="AL201" s="146" t="str">
        <f t="shared" si="87"/>
        <v/>
      </c>
      <c r="AM201" s="206" t="str">
        <f t="shared" si="88"/>
        <v/>
      </c>
      <c r="AN201" s="146" t="str">
        <f t="shared" si="89"/>
        <v/>
      </c>
      <c r="AO201" s="149" t="str">
        <f t="shared" si="90"/>
        <v/>
      </c>
      <c r="AP201" s="150" t="str">
        <f t="shared" si="91"/>
        <v/>
      </c>
      <c r="AQ201" s="146" t="str">
        <f>IFERROR(_xlfn.IFNA(IF($BA201="No",0,IF(INDEX(Constants!B:B,MATCH(($I201/12),Constants!$A:$A,0))=0,0,INDEX(Constants!B:B,MATCH(($I201/12),Constants!$A:$A,0)))),0),"")</f>
        <v/>
      </c>
      <c r="AR201" s="146" t="str">
        <f>IFERROR(_xlfn.IFNA(IF($BA201="No",0,IF(INDEX(Constants!C:C,MATCH(($I201/12),Constants!$A:$A,0))=0,0,INDEX(Constants!C:C,MATCH(($I201/12),Constants!$A:$A,0)))),0),"")</f>
        <v/>
      </c>
      <c r="AS201" s="146" t="str">
        <f>IFERROR(_xlfn.IFNA(IF($BA201="No",0,IF(INDEX(Constants!D:D,MATCH(($I201/12),Constants!$A:$A,0))=0,0,INDEX(Constants!D:D,MATCH(($I201/12),Constants!$A:$A,0)))),0),"")</f>
        <v/>
      </c>
      <c r="AT201" s="146" t="str">
        <f>IFERROR(_xlfn.IFNA(IF($BA201="No",0,IF(INDEX(Constants!E:E,MATCH(($I201/12),Constants!$A:$A,0))=0,0,INDEX(Constants!E:E,MATCH(($I201/12),Constants!$A:$A,0)))),0),"")</f>
        <v/>
      </c>
      <c r="AU201" s="146" t="str">
        <f>IFERROR(_xlfn.IFNA(IF($BA201="No",0,IF(INDEX(Constants!F:F,MATCH(($I201/12),Constants!$A:$A,0))=0,0,INDEX(Constants!F:F,MATCH(($I201/12),Constants!$A:$A,0)))),0),"")</f>
        <v/>
      </c>
      <c r="AV201" s="146" t="str">
        <f>IFERROR(_xlfn.IFNA(IF($BA201="No",0,IF(INDEX(Constants!G:G,MATCH(($I201/12),Constants!$A:$A,0))=0,0,INDEX(Constants!G:G,MATCH(($I201/12),Constants!$A:$A,0)))),0),"")</f>
        <v/>
      </c>
      <c r="AW201" s="146" t="str">
        <f>IFERROR(_xlfn.IFNA(IF($BA201="No",0,IF(INDEX(Constants!H:H,MATCH(($I201/12),Constants!$A:$A,0))=0,0,INDEX(Constants!H:H,MATCH(($I201/12),Constants!$A:$A,0)))),0),"")</f>
        <v/>
      </c>
      <c r="AX201" s="146" t="str">
        <f>IFERROR(_xlfn.IFNA(IF($BA201="No",0,IF(INDEX(Constants!I:I,MATCH(($I201/12),Constants!$A:$A,0))=0,0,INDEX(Constants!I:I,MATCH(($I201/12),Constants!$A:$A,0)))),0),"")</f>
        <v/>
      </c>
      <c r="AY201" s="146" t="str">
        <f>IFERROR(_xlfn.IFNA(IF($BA201="No",0,IF(INDEX(Constants!J:J,MATCH(($I201/12),Constants!$A:$A,0))=0,0,INDEX(Constants!J:J,MATCH(($I201/12),Constants!$A:$A,0)))),0),"")</f>
        <v/>
      </c>
      <c r="AZ201" s="146" t="str">
        <f>IFERROR(_xlfn.IFNA(IF($BA201="No",0,IF(INDEX(Constants!K:K,MATCH(($I201/12),Constants!$A:$A,0))=0,0,INDEX(Constants!K:K,MATCH(($I201/12),Constants!$A:$A,0)))),0),"")</f>
        <v/>
      </c>
      <c r="BA201" s="147" t="str">
        <f>_xlfn.IFNA(INDEX(Producer!$L:$L,MATCH($D201,Producer!$A:$A,0)),"")</f>
        <v/>
      </c>
      <c r="BB201" s="146" t="str">
        <f>IFERROR(IF(AQ201=0,"",IF(($I201/12)=15,_xlfn.CONCAT(Constants!$N$7,TEXT(DATE(YEAR(H201)-(($I201/12)-3),MONTH(H201),DAY(H201)),"dd/mm/yyyy"),", ",Constants!$P$7,TEXT(DATE(YEAR(H201)-(($I201/12)-8),MONTH(H201),DAY(H201)),"dd/mm/yyyy"),", ",Constants!$T$7,TEXT(DATE(YEAR(H201)-(($I201/12)-11),MONTH(H201),DAY(H201)),"dd/mm/yyyy"),", ",Constants!$V$7,TEXT(DATE(YEAR(H201)-(($I201/12)-13),MONTH(H201),DAY(H201)),"dd/mm/yyyy"),", ",Constants!$W$7,TEXT($H201,"dd/mm/yyyy")),IF(($I201/12)=10,_xlfn.CONCAT(Constants!$N$6,TEXT(DATE(YEAR(H201)-(($I201/12)-2),MONTH(H201),DAY(H201)),"dd/mm/yyyy"),", ",Constants!$P$6,TEXT(DATE(YEAR(H201)-(($I201/12)-6),MONTH(H201),DAY(H201)),"dd/mm/yyyy"),", ",Constants!$T$6,TEXT(DATE(YEAR(H201)-(($I201/12)-8),MONTH(H201),DAY(H201)),"dd/mm/yyyy"),", ",Constants!$V$6,TEXT(DATE(YEAR(H201)-(($I201/12)-9),MONTH(H201),DAY(H201)),"dd/mm/yyyy"),", ",Constants!$W$6,TEXT($H201,"dd/mm/yyyy")),IF(($I201/12)=5,_xlfn.CONCAT(Constants!$N$5,TEXT(DATE(YEAR(H201)-(($I201/12)-1),MONTH(H201),DAY(H201)),"dd/mm/yyyy"),", ",Constants!$O$5,TEXT(DATE(YEAR(H201)-(($I201/12)-2),MONTH(H201),DAY(H201)),"dd/mm/yyyy"),", ",Constants!$P$5,TEXT(DATE(YEAR(H201)-(($I201/12)-3),MONTH(H201),DAY(H201)),"dd/mm/yyyy"),", ",Constants!$Q$5,TEXT(DATE(YEAR(H201)-(($I201/12)-4),MONTH(H201),DAY(H201)),"dd/mm/yyyy"),", ",Constants!$R$5,TEXT($H201,"dd/mm/yyyy")),IF(($I201/12)=3,_xlfn.CONCAT(Constants!$N$4,TEXT(DATE(YEAR(H201)-(($I201/12)-1),MONTH(H201),DAY(H201)),"dd/mm/yyyy"),", ",Constants!$O$4,TEXT(DATE(YEAR(H201)-(($I201/12)-2),MONTH(H201),DAY(H201)),"dd/mm/yyyy"),", ",Constants!$P$4,TEXT($H201,"dd/mm/yyyy")),IF(($I201/12)=2,_xlfn.CONCAT(Constants!$N$3,TEXT(DATE(YEAR(H201)-(($I201/12)-1),MONTH(H201),DAY(H201)),"dd/mm/yyyy"),", ",Constants!$O$3,TEXT($H201,"dd/mm/yyyy")),IF(($I201/12)=1,_xlfn.CONCAT(Constants!$N$2,TEXT($H201,"dd/mm/yyyy")),"Update Constants"))))))),"")</f>
        <v/>
      </c>
      <c r="BC201" s="147" t="str">
        <f>_xlfn.IFNA(VALUE(INDEX(Producer!$K:$K,MATCH($D201,Producer!$A:$A,0))),"")</f>
        <v/>
      </c>
      <c r="BD201" s="147" t="str">
        <f>_xlfn.IFNA(INDEX(Producer!$I:$I,MATCH($D201,Producer!$A:$A,0)),"")</f>
        <v/>
      </c>
      <c r="BE201" s="147" t="str">
        <f t="shared" si="92"/>
        <v/>
      </c>
      <c r="BF201" s="147"/>
      <c r="BG201" s="147"/>
      <c r="BH201" s="151" t="str">
        <f>_xlfn.IFNA(INDEX(Constants!$B:$B,MATCH(BC201,Constants!A:A,0)),"")</f>
        <v/>
      </c>
      <c r="BI201" s="147" t="str">
        <f>IF(LEFT(B201,15)="Limited Company",Constants!$D$16,IFERROR(_xlfn.IFNA(IF(C201="Residential",IF(BK201&lt;75,INDEX(Constants!$B:$B,MATCH(VALUE(60)/100,Constants!$A:$A,0)),INDEX(Constants!$B:$B,MATCH(VALUE(BK201)/100,Constants!$A:$A,0))),IF(BK201&lt;60,INDEX(Constants!$C:$C,MATCH(VALUE(60)/100,Constants!$A:$A,0)),INDEX(Constants!$C:$C,MATCH(VALUE(BK201)/100,Constants!$A:$A,0)))),""),""))</f>
        <v/>
      </c>
      <c r="BJ201" s="147" t="str">
        <f t="shared" si="93"/>
        <v/>
      </c>
      <c r="BK201" s="147" t="str">
        <f>_xlfn.IFNA(VALUE(INDEX(Producer!$E:$E,MATCH($D201,Producer!$A:$A,0)))*100,"")</f>
        <v/>
      </c>
      <c r="BL201" s="146" t="str">
        <f>_xlfn.IFNA(IF(IFERROR(FIND("Part &amp; Part",B201),-10)&gt;0,"PP",IF(OR(LEFT(B201,25)="Residential Interest Only",INDEX(Producer!$P:$P,MATCH($D201,Producer!$A:$A,0))="IO",INDEX(Producer!$P:$P,MATCH($D201,Producer!$A:$A,0))="Retirement Interest Only"),"IO",IF($C201="BuyToLet","CI, IO","CI"))),"")</f>
        <v/>
      </c>
      <c r="BM201" s="152" t="str">
        <f>_xlfn.IFNA(IF(BL201="IO",100%,IF(AND(INDEX(Producer!$P:$P,MATCH($D201,Producer!$A:$A,0))="Residential Interest Only Part &amp; Part",BK201=75),80%,IF(C201="BuyToLet",100%,IF(BL201="Interest Only",100%,IF(AND(INDEX(Producer!$P:$P,MATCH($D201,Producer!$A:$A,0))="Residential Interest Only Part &amp; Part",BK201=60),100%,""))))),"")</f>
        <v/>
      </c>
      <c r="BN201" s="218" t="str">
        <f>_xlfn.IFNA(IF(VALUE(INDEX(Producer!$H:$H,MATCH($D201,Producer!$A:$A,0)))=0,"",VALUE(INDEX(Producer!$H:$H,MATCH($D201,Producer!$A:$A,0)))),"")</f>
        <v/>
      </c>
      <c r="BO201" s="153"/>
      <c r="BP201" s="153"/>
      <c r="BQ201" s="219" t="str">
        <f t="shared" si="94"/>
        <v/>
      </c>
      <c r="BR201" s="146"/>
      <c r="BS201" s="146"/>
      <c r="BT201" s="146"/>
      <c r="BU201" s="146"/>
      <c r="BV201" s="219" t="str">
        <f t="shared" si="95"/>
        <v/>
      </c>
      <c r="BW201" s="146"/>
      <c r="BX201" s="146"/>
      <c r="BY201" s="146" t="str">
        <f t="shared" si="96"/>
        <v/>
      </c>
      <c r="BZ201" s="146" t="str">
        <f t="shared" si="97"/>
        <v/>
      </c>
      <c r="CA201" s="146" t="str">
        <f t="shared" si="98"/>
        <v/>
      </c>
      <c r="CB201" s="146" t="str">
        <f t="shared" si="99"/>
        <v/>
      </c>
      <c r="CC201" s="146" t="str">
        <f>_xlfn.IFNA(IF(INDEX(Producer!$P:$P,MATCH($D201,Producer!$A:$A,0))="Help to Buy","Only available","No"),"")</f>
        <v/>
      </c>
      <c r="CD201" s="146" t="str">
        <f>_xlfn.IFNA(IF(INDEX(Producer!$P:$P,MATCH($D201,Producer!$A:$A,0))="Shared Ownership","Only available","No"),"")</f>
        <v/>
      </c>
      <c r="CE201" s="146" t="str">
        <f>_xlfn.IFNA(IF(INDEX(Producer!$P:$P,MATCH($D201,Producer!$A:$A,0))="Right to Buy","Only available","No"),"")</f>
        <v/>
      </c>
      <c r="CF201" s="146" t="str">
        <f t="shared" si="100"/>
        <v/>
      </c>
      <c r="CG201" s="146" t="str">
        <f>_xlfn.IFNA(IF(INDEX(Producer!$P:$P,MATCH($D201,Producer!$A:$A,0))="Retirement Interest Only","Only available","No"),"")</f>
        <v/>
      </c>
      <c r="CH201" s="146" t="str">
        <f t="shared" si="101"/>
        <v/>
      </c>
      <c r="CI201" s="146" t="str">
        <f>_xlfn.IFNA(IF(INDEX(Producer!$P:$P,MATCH($D201,Producer!$A:$A,0))="Intermediary Holiday Let","Only available","No"),"")</f>
        <v/>
      </c>
      <c r="CJ201" s="146" t="str">
        <f t="shared" si="102"/>
        <v/>
      </c>
      <c r="CK201" s="146" t="str">
        <f>_xlfn.IFNA(IF(OR(INDEX(Producer!$P:$P,MATCH($D201,Producer!$A:$A,0))="Intermediary Small HMO",INDEX(Producer!$P:$P,MATCH($D201,Producer!$A:$A,0))="Intermediary Large HMO"),"Only available","No"),"")</f>
        <v/>
      </c>
      <c r="CL201" s="146" t="str">
        <f t="shared" si="103"/>
        <v/>
      </c>
      <c r="CM201" s="146" t="str">
        <f t="shared" si="104"/>
        <v/>
      </c>
      <c r="CN201" s="146" t="str">
        <f t="shared" si="105"/>
        <v/>
      </c>
      <c r="CO201" s="146" t="str">
        <f t="shared" si="106"/>
        <v/>
      </c>
      <c r="CP201" s="146" t="str">
        <f t="shared" si="107"/>
        <v/>
      </c>
      <c r="CQ201" s="146" t="str">
        <f t="shared" si="108"/>
        <v/>
      </c>
      <c r="CR201" s="146" t="str">
        <f t="shared" si="109"/>
        <v/>
      </c>
      <c r="CS201" s="146" t="str">
        <f t="shared" si="110"/>
        <v/>
      </c>
      <c r="CT201" s="146" t="str">
        <f t="shared" si="111"/>
        <v/>
      </c>
      <c r="CU201" s="146"/>
    </row>
    <row r="202" spans="1:99" ht="16.399999999999999" customHeight="1" x14ac:dyDescent="0.35">
      <c r="A202" s="145" t="str">
        <f t="shared" si="84"/>
        <v/>
      </c>
      <c r="B202" s="145" t="str">
        <f>_xlfn.IFNA(_xlfn.CONCAT(INDEX(Producer!$P:$P,MATCH($D202,Producer!$A:$A,0))," ",IF(INDEX(Producer!$N:$N,MATCH($D202,Producer!$A:$A,0))="Yes","Green ",""),IF(AND(INDEX(Producer!$L:$L,MATCH($D202,Producer!$A:$A,0))="No",INDEX(Producer!$C:$C,MATCH($D202,Producer!$A:$A,0))="Fixed"),"Flexit ",""),INDEX(Producer!$B:$B,MATCH($D202,Producer!$A:$A,0))," Year ",INDEX(Producer!$C:$C,MATCH($D202,Producer!$A:$A,0))," ",VALUE(INDEX(Producer!$E:$E,MATCH($D202,Producer!$A:$A,0)))*100,"% LTV",IF(INDEX(Producer!$N:$N,MATCH($D202,Producer!$A:$A,0))="Yes"," (EPC A-C)","")," - ",IF(INDEX(Producer!$D:$D,MATCH($D202,Producer!$A:$A,0))="DLY","Daily","Annual")),"")</f>
        <v/>
      </c>
      <c r="C202" s="146" t="str">
        <f>_xlfn.IFNA(INDEX(Producer!$Q:$Q,MATCH($D202,Producer!$A:$A,0)),"")</f>
        <v/>
      </c>
      <c r="D202" s="146" t="str">
        <f>IFERROR(VALUE(MID(Producer!$R$2,IF($D201="",1/0,FIND(_xlfn.CONCAT($D200,$D201),Producer!$R$2)+10),5)),"")</f>
        <v/>
      </c>
      <c r="E202" s="146" t="str">
        <f t="shared" si="85"/>
        <v/>
      </c>
      <c r="F202" s="146"/>
      <c r="G202" s="147" t="str">
        <f>_xlfn.IFNA(VALUE(INDEX(Producer!$F:$F,MATCH($D202,Producer!$A:$A,0)))*100,"")</f>
        <v/>
      </c>
      <c r="H202" s="216" t="str">
        <f>_xlfn.IFNA(IFERROR(DATEVALUE(INDEX(Producer!$M:$M,MATCH($D202,Producer!$A:$A,0))),(INDEX(Producer!$M:$M,MATCH($D202,Producer!$A:$A,0)))),"")</f>
        <v/>
      </c>
      <c r="I202" s="217" t="str">
        <f>_xlfn.IFNA(VALUE(INDEX(Producer!$B:$B,MATCH($D202,Producer!$A:$A,0)))*12,"")</f>
        <v/>
      </c>
      <c r="J202" s="146" t="str">
        <f>_xlfn.IFNA(IF(C202="Residential",IF(VALUE(INDEX(Producer!$B:$B,MATCH($D202,Producer!$A:$A,0)))&lt;5,Constants!$C$10,""),IF(VALUE(INDEX(Producer!$B:$B,MATCH($D202,Producer!$A:$A,0)))&lt;5,Constants!$C$11,"")),"")</f>
        <v/>
      </c>
      <c r="K202" s="216" t="str">
        <f>_xlfn.IFNA(IF(($I202)&lt;60,DATE(YEAR(H202)+(5-VALUE(INDEX(Producer!$B:$B,MATCH($D202,Producer!$A:$A,0)))),MONTH(H202),DAY(H202)),""),"")</f>
        <v/>
      </c>
      <c r="L202" s="153" t="str">
        <f t="shared" si="86"/>
        <v/>
      </c>
      <c r="M202" s="146"/>
      <c r="N202" s="148"/>
      <c r="O202" s="148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6"/>
      <c r="AK202" s="146" t="str">
        <f>IF(D202="","",IF(C202="Residential",Constants!$B$10,Constants!$B$11))</f>
        <v/>
      </c>
      <c r="AL202" s="146" t="str">
        <f t="shared" si="87"/>
        <v/>
      </c>
      <c r="AM202" s="206" t="str">
        <f t="shared" si="88"/>
        <v/>
      </c>
      <c r="AN202" s="146" t="str">
        <f t="shared" si="89"/>
        <v/>
      </c>
      <c r="AO202" s="149" t="str">
        <f t="shared" si="90"/>
        <v/>
      </c>
      <c r="AP202" s="150" t="str">
        <f t="shared" si="91"/>
        <v/>
      </c>
      <c r="AQ202" s="146" t="str">
        <f>IFERROR(_xlfn.IFNA(IF($BA202="No",0,IF(INDEX(Constants!B:B,MATCH(($I202/12),Constants!$A:$A,0))=0,0,INDEX(Constants!B:B,MATCH(($I202/12),Constants!$A:$A,0)))),0),"")</f>
        <v/>
      </c>
      <c r="AR202" s="146" t="str">
        <f>IFERROR(_xlfn.IFNA(IF($BA202="No",0,IF(INDEX(Constants!C:C,MATCH(($I202/12),Constants!$A:$A,0))=0,0,INDEX(Constants!C:C,MATCH(($I202/12),Constants!$A:$A,0)))),0),"")</f>
        <v/>
      </c>
      <c r="AS202" s="146" t="str">
        <f>IFERROR(_xlfn.IFNA(IF($BA202="No",0,IF(INDEX(Constants!D:D,MATCH(($I202/12),Constants!$A:$A,0))=0,0,INDEX(Constants!D:D,MATCH(($I202/12),Constants!$A:$A,0)))),0),"")</f>
        <v/>
      </c>
      <c r="AT202" s="146" t="str">
        <f>IFERROR(_xlfn.IFNA(IF($BA202="No",0,IF(INDEX(Constants!E:E,MATCH(($I202/12),Constants!$A:$A,0))=0,0,INDEX(Constants!E:E,MATCH(($I202/12),Constants!$A:$A,0)))),0),"")</f>
        <v/>
      </c>
      <c r="AU202" s="146" t="str">
        <f>IFERROR(_xlfn.IFNA(IF($BA202="No",0,IF(INDEX(Constants!F:F,MATCH(($I202/12),Constants!$A:$A,0))=0,0,INDEX(Constants!F:F,MATCH(($I202/12),Constants!$A:$A,0)))),0),"")</f>
        <v/>
      </c>
      <c r="AV202" s="146" t="str">
        <f>IFERROR(_xlfn.IFNA(IF($BA202="No",0,IF(INDEX(Constants!G:G,MATCH(($I202/12),Constants!$A:$A,0))=0,0,INDEX(Constants!G:G,MATCH(($I202/12),Constants!$A:$A,0)))),0),"")</f>
        <v/>
      </c>
      <c r="AW202" s="146" t="str">
        <f>IFERROR(_xlfn.IFNA(IF($BA202="No",0,IF(INDEX(Constants!H:H,MATCH(($I202/12),Constants!$A:$A,0))=0,0,INDEX(Constants!H:H,MATCH(($I202/12),Constants!$A:$A,0)))),0),"")</f>
        <v/>
      </c>
      <c r="AX202" s="146" t="str">
        <f>IFERROR(_xlfn.IFNA(IF($BA202="No",0,IF(INDEX(Constants!I:I,MATCH(($I202/12),Constants!$A:$A,0))=0,0,INDEX(Constants!I:I,MATCH(($I202/12),Constants!$A:$A,0)))),0),"")</f>
        <v/>
      </c>
      <c r="AY202" s="146" t="str">
        <f>IFERROR(_xlfn.IFNA(IF($BA202="No",0,IF(INDEX(Constants!J:J,MATCH(($I202/12),Constants!$A:$A,0))=0,0,INDEX(Constants!J:J,MATCH(($I202/12),Constants!$A:$A,0)))),0),"")</f>
        <v/>
      </c>
      <c r="AZ202" s="146" t="str">
        <f>IFERROR(_xlfn.IFNA(IF($BA202="No",0,IF(INDEX(Constants!K:K,MATCH(($I202/12),Constants!$A:$A,0))=0,0,INDEX(Constants!K:K,MATCH(($I202/12),Constants!$A:$A,0)))),0),"")</f>
        <v/>
      </c>
      <c r="BA202" s="147" t="str">
        <f>_xlfn.IFNA(INDEX(Producer!$L:$L,MATCH($D202,Producer!$A:$A,0)),"")</f>
        <v/>
      </c>
      <c r="BB202" s="146" t="str">
        <f>IFERROR(IF(AQ202=0,"",IF(($I202/12)=15,_xlfn.CONCAT(Constants!$N$7,TEXT(DATE(YEAR(H202)-(($I202/12)-3),MONTH(H202),DAY(H202)),"dd/mm/yyyy"),", ",Constants!$P$7,TEXT(DATE(YEAR(H202)-(($I202/12)-8),MONTH(H202),DAY(H202)),"dd/mm/yyyy"),", ",Constants!$T$7,TEXT(DATE(YEAR(H202)-(($I202/12)-11),MONTH(H202),DAY(H202)),"dd/mm/yyyy"),", ",Constants!$V$7,TEXT(DATE(YEAR(H202)-(($I202/12)-13),MONTH(H202),DAY(H202)),"dd/mm/yyyy"),", ",Constants!$W$7,TEXT($H202,"dd/mm/yyyy")),IF(($I202/12)=10,_xlfn.CONCAT(Constants!$N$6,TEXT(DATE(YEAR(H202)-(($I202/12)-2),MONTH(H202),DAY(H202)),"dd/mm/yyyy"),", ",Constants!$P$6,TEXT(DATE(YEAR(H202)-(($I202/12)-6),MONTH(H202),DAY(H202)),"dd/mm/yyyy"),", ",Constants!$T$6,TEXT(DATE(YEAR(H202)-(($I202/12)-8),MONTH(H202),DAY(H202)),"dd/mm/yyyy"),", ",Constants!$V$6,TEXT(DATE(YEAR(H202)-(($I202/12)-9),MONTH(H202),DAY(H202)),"dd/mm/yyyy"),", ",Constants!$W$6,TEXT($H202,"dd/mm/yyyy")),IF(($I202/12)=5,_xlfn.CONCAT(Constants!$N$5,TEXT(DATE(YEAR(H202)-(($I202/12)-1),MONTH(H202),DAY(H202)),"dd/mm/yyyy"),", ",Constants!$O$5,TEXT(DATE(YEAR(H202)-(($I202/12)-2),MONTH(H202),DAY(H202)),"dd/mm/yyyy"),", ",Constants!$P$5,TEXT(DATE(YEAR(H202)-(($I202/12)-3),MONTH(H202),DAY(H202)),"dd/mm/yyyy"),", ",Constants!$Q$5,TEXT(DATE(YEAR(H202)-(($I202/12)-4),MONTH(H202),DAY(H202)),"dd/mm/yyyy"),", ",Constants!$R$5,TEXT($H202,"dd/mm/yyyy")),IF(($I202/12)=3,_xlfn.CONCAT(Constants!$N$4,TEXT(DATE(YEAR(H202)-(($I202/12)-1),MONTH(H202),DAY(H202)),"dd/mm/yyyy"),", ",Constants!$O$4,TEXT(DATE(YEAR(H202)-(($I202/12)-2),MONTH(H202),DAY(H202)),"dd/mm/yyyy"),", ",Constants!$P$4,TEXT($H202,"dd/mm/yyyy")),IF(($I202/12)=2,_xlfn.CONCAT(Constants!$N$3,TEXT(DATE(YEAR(H202)-(($I202/12)-1),MONTH(H202),DAY(H202)),"dd/mm/yyyy"),", ",Constants!$O$3,TEXT($H202,"dd/mm/yyyy")),IF(($I202/12)=1,_xlfn.CONCAT(Constants!$N$2,TEXT($H202,"dd/mm/yyyy")),"Update Constants"))))))),"")</f>
        <v/>
      </c>
      <c r="BC202" s="147" t="str">
        <f>_xlfn.IFNA(VALUE(INDEX(Producer!$K:$K,MATCH($D202,Producer!$A:$A,0))),"")</f>
        <v/>
      </c>
      <c r="BD202" s="147" t="str">
        <f>_xlfn.IFNA(INDEX(Producer!$I:$I,MATCH($D202,Producer!$A:$A,0)),"")</f>
        <v/>
      </c>
      <c r="BE202" s="147" t="str">
        <f t="shared" si="92"/>
        <v/>
      </c>
      <c r="BF202" s="147"/>
      <c r="BG202" s="147"/>
      <c r="BH202" s="151" t="str">
        <f>_xlfn.IFNA(INDEX(Constants!$B:$B,MATCH(BC202,Constants!A:A,0)),"")</f>
        <v/>
      </c>
      <c r="BI202" s="147" t="str">
        <f>IF(LEFT(B202,15)="Limited Company",Constants!$D$16,IFERROR(_xlfn.IFNA(IF(C202="Residential",IF(BK202&lt;75,INDEX(Constants!$B:$B,MATCH(VALUE(60)/100,Constants!$A:$A,0)),INDEX(Constants!$B:$B,MATCH(VALUE(BK202)/100,Constants!$A:$A,0))),IF(BK202&lt;60,INDEX(Constants!$C:$C,MATCH(VALUE(60)/100,Constants!$A:$A,0)),INDEX(Constants!$C:$C,MATCH(VALUE(BK202)/100,Constants!$A:$A,0)))),""),""))</f>
        <v/>
      </c>
      <c r="BJ202" s="147" t="str">
        <f t="shared" si="93"/>
        <v/>
      </c>
      <c r="BK202" s="147" t="str">
        <f>_xlfn.IFNA(VALUE(INDEX(Producer!$E:$E,MATCH($D202,Producer!$A:$A,0)))*100,"")</f>
        <v/>
      </c>
      <c r="BL202" s="146" t="str">
        <f>_xlfn.IFNA(IF(IFERROR(FIND("Part &amp; Part",B202),-10)&gt;0,"PP",IF(OR(LEFT(B202,25)="Residential Interest Only",INDEX(Producer!$P:$P,MATCH($D202,Producer!$A:$A,0))="IO",INDEX(Producer!$P:$P,MATCH($D202,Producer!$A:$A,0))="Retirement Interest Only"),"IO",IF($C202="BuyToLet","CI, IO","CI"))),"")</f>
        <v/>
      </c>
      <c r="BM202" s="152" t="str">
        <f>_xlfn.IFNA(IF(BL202="IO",100%,IF(AND(INDEX(Producer!$P:$P,MATCH($D202,Producer!$A:$A,0))="Residential Interest Only Part &amp; Part",BK202=75),80%,IF(C202="BuyToLet",100%,IF(BL202="Interest Only",100%,IF(AND(INDEX(Producer!$P:$P,MATCH($D202,Producer!$A:$A,0))="Residential Interest Only Part &amp; Part",BK202=60),100%,""))))),"")</f>
        <v/>
      </c>
      <c r="BN202" s="218" t="str">
        <f>_xlfn.IFNA(IF(VALUE(INDEX(Producer!$H:$H,MATCH($D202,Producer!$A:$A,0)))=0,"",VALUE(INDEX(Producer!$H:$H,MATCH($D202,Producer!$A:$A,0)))),"")</f>
        <v/>
      </c>
      <c r="BO202" s="153"/>
      <c r="BP202" s="153"/>
      <c r="BQ202" s="219" t="str">
        <f t="shared" si="94"/>
        <v/>
      </c>
      <c r="BR202" s="146"/>
      <c r="BS202" s="146"/>
      <c r="BT202" s="146"/>
      <c r="BU202" s="146"/>
      <c r="BV202" s="219" t="str">
        <f t="shared" si="95"/>
        <v/>
      </c>
      <c r="BW202" s="146"/>
      <c r="BX202" s="146"/>
      <c r="BY202" s="146" t="str">
        <f t="shared" si="96"/>
        <v/>
      </c>
      <c r="BZ202" s="146" t="str">
        <f t="shared" si="97"/>
        <v/>
      </c>
      <c r="CA202" s="146" t="str">
        <f t="shared" si="98"/>
        <v/>
      </c>
      <c r="CB202" s="146" t="str">
        <f t="shared" si="99"/>
        <v/>
      </c>
      <c r="CC202" s="146" t="str">
        <f>_xlfn.IFNA(IF(INDEX(Producer!$P:$P,MATCH($D202,Producer!$A:$A,0))="Help to Buy","Only available","No"),"")</f>
        <v/>
      </c>
      <c r="CD202" s="146" t="str">
        <f>_xlfn.IFNA(IF(INDEX(Producer!$P:$P,MATCH($D202,Producer!$A:$A,0))="Shared Ownership","Only available","No"),"")</f>
        <v/>
      </c>
      <c r="CE202" s="146" t="str">
        <f>_xlfn.IFNA(IF(INDEX(Producer!$P:$P,MATCH($D202,Producer!$A:$A,0))="Right to Buy","Only available","No"),"")</f>
        <v/>
      </c>
      <c r="CF202" s="146" t="str">
        <f t="shared" si="100"/>
        <v/>
      </c>
      <c r="CG202" s="146" t="str">
        <f>_xlfn.IFNA(IF(INDEX(Producer!$P:$P,MATCH($D202,Producer!$A:$A,0))="Retirement Interest Only","Only available","No"),"")</f>
        <v/>
      </c>
      <c r="CH202" s="146" t="str">
        <f t="shared" si="101"/>
        <v/>
      </c>
      <c r="CI202" s="146" t="str">
        <f>_xlfn.IFNA(IF(INDEX(Producer!$P:$P,MATCH($D202,Producer!$A:$A,0))="Intermediary Holiday Let","Only available","No"),"")</f>
        <v/>
      </c>
      <c r="CJ202" s="146" t="str">
        <f t="shared" si="102"/>
        <v/>
      </c>
      <c r="CK202" s="146" t="str">
        <f>_xlfn.IFNA(IF(OR(INDEX(Producer!$P:$P,MATCH($D202,Producer!$A:$A,0))="Intermediary Small HMO",INDEX(Producer!$P:$P,MATCH($D202,Producer!$A:$A,0))="Intermediary Large HMO"),"Only available","No"),"")</f>
        <v/>
      </c>
      <c r="CL202" s="146" t="str">
        <f t="shared" si="103"/>
        <v/>
      </c>
      <c r="CM202" s="146" t="str">
        <f t="shared" si="104"/>
        <v/>
      </c>
      <c r="CN202" s="146" t="str">
        <f t="shared" si="105"/>
        <v/>
      </c>
      <c r="CO202" s="146" t="str">
        <f t="shared" si="106"/>
        <v/>
      </c>
      <c r="CP202" s="146" t="str">
        <f t="shared" si="107"/>
        <v/>
      </c>
      <c r="CQ202" s="146" t="str">
        <f t="shared" si="108"/>
        <v/>
      </c>
      <c r="CR202" s="146" t="str">
        <f t="shared" si="109"/>
        <v/>
      </c>
      <c r="CS202" s="146" t="str">
        <f t="shared" si="110"/>
        <v/>
      </c>
      <c r="CT202" s="146" t="str">
        <f t="shared" si="111"/>
        <v/>
      </c>
      <c r="CU202" s="146"/>
    </row>
    <row r="203" spans="1:99" ht="16.399999999999999" customHeight="1" x14ac:dyDescent="0.35">
      <c r="A203" s="145" t="str">
        <f t="shared" si="84"/>
        <v/>
      </c>
      <c r="B203" s="145" t="str">
        <f>_xlfn.IFNA(_xlfn.CONCAT(INDEX(Producer!$P:$P,MATCH($D203,Producer!$A:$A,0))," ",IF(INDEX(Producer!$N:$N,MATCH($D203,Producer!$A:$A,0))="Yes","Green ",""),IF(AND(INDEX(Producer!$L:$L,MATCH($D203,Producer!$A:$A,0))="No",INDEX(Producer!$C:$C,MATCH($D203,Producer!$A:$A,0))="Fixed"),"Flexit ",""),INDEX(Producer!$B:$B,MATCH($D203,Producer!$A:$A,0))," Year ",INDEX(Producer!$C:$C,MATCH($D203,Producer!$A:$A,0))," ",VALUE(INDEX(Producer!$E:$E,MATCH($D203,Producer!$A:$A,0)))*100,"% LTV",IF(INDEX(Producer!$N:$N,MATCH($D203,Producer!$A:$A,0))="Yes"," (EPC A-C)","")," - ",IF(INDEX(Producer!$D:$D,MATCH($D203,Producer!$A:$A,0))="DLY","Daily","Annual")),"")</f>
        <v/>
      </c>
      <c r="C203" s="146" t="str">
        <f>_xlfn.IFNA(INDEX(Producer!$Q:$Q,MATCH($D203,Producer!$A:$A,0)),"")</f>
        <v/>
      </c>
      <c r="D203" s="146" t="str">
        <f>IFERROR(VALUE(MID(Producer!$R$2,IF($D202="",1/0,FIND(_xlfn.CONCAT($D201,$D202),Producer!$R$2)+10),5)),"")</f>
        <v/>
      </c>
      <c r="E203" s="146" t="str">
        <f t="shared" si="85"/>
        <v/>
      </c>
      <c r="F203" s="146"/>
      <c r="G203" s="147" t="str">
        <f>_xlfn.IFNA(VALUE(INDEX(Producer!$F:$F,MATCH($D203,Producer!$A:$A,0)))*100,"")</f>
        <v/>
      </c>
      <c r="H203" s="216" t="str">
        <f>_xlfn.IFNA(IFERROR(DATEVALUE(INDEX(Producer!$M:$M,MATCH($D203,Producer!$A:$A,0))),(INDEX(Producer!$M:$M,MATCH($D203,Producer!$A:$A,0)))),"")</f>
        <v/>
      </c>
      <c r="I203" s="217" t="str">
        <f>_xlfn.IFNA(VALUE(INDEX(Producer!$B:$B,MATCH($D203,Producer!$A:$A,0)))*12,"")</f>
        <v/>
      </c>
      <c r="J203" s="146" t="str">
        <f>_xlfn.IFNA(IF(C203="Residential",IF(VALUE(INDEX(Producer!$B:$B,MATCH($D203,Producer!$A:$A,0)))&lt;5,Constants!$C$10,""),IF(VALUE(INDEX(Producer!$B:$B,MATCH($D203,Producer!$A:$A,0)))&lt;5,Constants!$C$11,"")),"")</f>
        <v/>
      </c>
      <c r="K203" s="216" t="str">
        <f>_xlfn.IFNA(IF(($I203)&lt;60,DATE(YEAR(H203)+(5-VALUE(INDEX(Producer!$B:$B,MATCH($D203,Producer!$A:$A,0)))),MONTH(H203),DAY(H203)),""),"")</f>
        <v/>
      </c>
      <c r="L203" s="153" t="str">
        <f t="shared" si="86"/>
        <v/>
      </c>
      <c r="M203" s="146"/>
      <c r="N203" s="148"/>
      <c r="O203" s="148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6"/>
      <c r="AJ203" s="146"/>
      <c r="AK203" s="146" t="str">
        <f>IF(D203="","",IF(C203="Residential",Constants!$B$10,Constants!$B$11))</f>
        <v/>
      </c>
      <c r="AL203" s="146" t="str">
        <f t="shared" si="87"/>
        <v/>
      </c>
      <c r="AM203" s="206" t="str">
        <f t="shared" si="88"/>
        <v/>
      </c>
      <c r="AN203" s="146" t="str">
        <f t="shared" si="89"/>
        <v/>
      </c>
      <c r="AO203" s="149" t="str">
        <f t="shared" si="90"/>
        <v/>
      </c>
      <c r="AP203" s="150" t="str">
        <f t="shared" si="91"/>
        <v/>
      </c>
      <c r="AQ203" s="146" t="str">
        <f>IFERROR(_xlfn.IFNA(IF($BA203="No",0,IF(INDEX(Constants!B:B,MATCH(($I203/12),Constants!$A:$A,0))=0,0,INDEX(Constants!B:B,MATCH(($I203/12),Constants!$A:$A,0)))),0),"")</f>
        <v/>
      </c>
      <c r="AR203" s="146" t="str">
        <f>IFERROR(_xlfn.IFNA(IF($BA203="No",0,IF(INDEX(Constants!C:C,MATCH(($I203/12),Constants!$A:$A,0))=0,0,INDEX(Constants!C:C,MATCH(($I203/12),Constants!$A:$A,0)))),0),"")</f>
        <v/>
      </c>
      <c r="AS203" s="146" t="str">
        <f>IFERROR(_xlfn.IFNA(IF($BA203="No",0,IF(INDEX(Constants!D:D,MATCH(($I203/12),Constants!$A:$A,0))=0,0,INDEX(Constants!D:D,MATCH(($I203/12),Constants!$A:$A,0)))),0),"")</f>
        <v/>
      </c>
      <c r="AT203" s="146" t="str">
        <f>IFERROR(_xlfn.IFNA(IF($BA203="No",0,IF(INDEX(Constants!E:E,MATCH(($I203/12),Constants!$A:$A,0))=0,0,INDEX(Constants!E:E,MATCH(($I203/12),Constants!$A:$A,0)))),0),"")</f>
        <v/>
      </c>
      <c r="AU203" s="146" t="str">
        <f>IFERROR(_xlfn.IFNA(IF($BA203="No",0,IF(INDEX(Constants!F:F,MATCH(($I203/12),Constants!$A:$A,0))=0,0,INDEX(Constants!F:F,MATCH(($I203/12),Constants!$A:$A,0)))),0),"")</f>
        <v/>
      </c>
      <c r="AV203" s="146" t="str">
        <f>IFERROR(_xlfn.IFNA(IF($BA203="No",0,IF(INDEX(Constants!G:G,MATCH(($I203/12),Constants!$A:$A,0))=0,0,INDEX(Constants!G:G,MATCH(($I203/12),Constants!$A:$A,0)))),0),"")</f>
        <v/>
      </c>
      <c r="AW203" s="146" t="str">
        <f>IFERROR(_xlfn.IFNA(IF($BA203="No",0,IF(INDEX(Constants!H:H,MATCH(($I203/12),Constants!$A:$A,0))=0,0,INDEX(Constants!H:H,MATCH(($I203/12),Constants!$A:$A,0)))),0),"")</f>
        <v/>
      </c>
      <c r="AX203" s="146" t="str">
        <f>IFERROR(_xlfn.IFNA(IF($BA203="No",0,IF(INDEX(Constants!I:I,MATCH(($I203/12),Constants!$A:$A,0))=0,0,INDEX(Constants!I:I,MATCH(($I203/12),Constants!$A:$A,0)))),0),"")</f>
        <v/>
      </c>
      <c r="AY203" s="146" t="str">
        <f>IFERROR(_xlfn.IFNA(IF($BA203="No",0,IF(INDEX(Constants!J:J,MATCH(($I203/12),Constants!$A:$A,0))=0,0,INDEX(Constants!J:J,MATCH(($I203/12),Constants!$A:$A,0)))),0),"")</f>
        <v/>
      </c>
      <c r="AZ203" s="146" t="str">
        <f>IFERROR(_xlfn.IFNA(IF($BA203="No",0,IF(INDEX(Constants!K:K,MATCH(($I203/12),Constants!$A:$A,0))=0,0,INDEX(Constants!K:K,MATCH(($I203/12),Constants!$A:$A,0)))),0),"")</f>
        <v/>
      </c>
      <c r="BA203" s="147" t="str">
        <f>_xlfn.IFNA(INDEX(Producer!$L:$L,MATCH($D203,Producer!$A:$A,0)),"")</f>
        <v/>
      </c>
      <c r="BB203" s="146" t="str">
        <f>IFERROR(IF(AQ203=0,"",IF(($I203/12)=15,_xlfn.CONCAT(Constants!$N$7,TEXT(DATE(YEAR(H203)-(($I203/12)-3),MONTH(H203),DAY(H203)),"dd/mm/yyyy"),", ",Constants!$P$7,TEXT(DATE(YEAR(H203)-(($I203/12)-8),MONTH(H203),DAY(H203)),"dd/mm/yyyy"),", ",Constants!$T$7,TEXT(DATE(YEAR(H203)-(($I203/12)-11),MONTH(H203),DAY(H203)),"dd/mm/yyyy"),", ",Constants!$V$7,TEXT(DATE(YEAR(H203)-(($I203/12)-13),MONTH(H203),DAY(H203)),"dd/mm/yyyy"),", ",Constants!$W$7,TEXT($H203,"dd/mm/yyyy")),IF(($I203/12)=10,_xlfn.CONCAT(Constants!$N$6,TEXT(DATE(YEAR(H203)-(($I203/12)-2),MONTH(H203),DAY(H203)),"dd/mm/yyyy"),", ",Constants!$P$6,TEXT(DATE(YEAR(H203)-(($I203/12)-6),MONTH(H203),DAY(H203)),"dd/mm/yyyy"),", ",Constants!$T$6,TEXT(DATE(YEAR(H203)-(($I203/12)-8),MONTH(H203),DAY(H203)),"dd/mm/yyyy"),", ",Constants!$V$6,TEXT(DATE(YEAR(H203)-(($I203/12)-9),MONTH(H203),DAY(H203)),"dd/mm/yyyy"),", ",Constants!$W$6,TEXT($H203,"dd/mm/yyyy")),IF(($I203/12)=5,_xlfn.CONCAT(Constants!$N$5,TEXT(DATE(YEAR(H203)-(($I203/12)-1),MONTH(H203),DAY(H203)),"dd/mm/yyyy"),", ",Constants!$O$5,TEXT(DATE(YEAR(H203)-(($I203/12)-2),MONTH(H203),DAY(H203)),"dd/mm/yyyy"),", ",Constants!$P$5,TEXT(DATE(YEAR(H203)-(($I203/12)-3),MONTH(H203),DAY(H203)),"dd/mm/yyyy"),", ",Constants!$Q$5,TEXT(DATE(YEAR(H203)-(($I203/12)-4),MONTH(H203),DAY(H203)),"dd/mm/yyyy"),", ",Constants!$R$5,TEXT($H203,"dd/mm/yyyy")),IF(($I203/12)=3,_xlfn.CONCAT(Constants!$N$4,TEXT(DATE(YEAR(H203)-(($I203/12)-1),MONTH(H203),DAY(H203)),"dd/mm/yyyy"),", ",Constants!$O$4,TEXT(DATE(YEAR(H203)-(($I203/12)-2),MONTH(H203),DAY(H203)),"dd/mm/yyyy"),", ",Constants!$P$4,TEXT($H203,"dd/mm/yyyy")),IF(($I203/12)=2,_xlfn.CONCAT(Constants!$N$3,TEXT(DATE(YEAR(H203)-(($I203/12)-1),MONTH(H203),DAY(H203)),"dd/mm/yyyy"),", ",Constants!$O$3,TEXT($H203,"dd/mm/yyyy")),IF(($I203/12)=1,_xlfn.CONCAT(Constants!$N$2,TEXT($H203,"dd/mm/yyyy")),"Update Constants"))))))),"")</f>
        <v/>
      </c>
      <c r="BC203" s="147" t="str">
        <f>_xlfn.IFNA(VALUE(INDEX(Producer!$K:$K,MATCH($D203,Producer!$A:$A,0))),"")</f>
        <v/>
      </c>
      <c r="BD203" s="147" t="str">
        <f>_xlfn.IFNA(INDEX(Producer!$I:$I,MATCH($D203,Producer!$A:$A,0)),"")</f>
        <v/>
      </c>
      <c r="BE203" s="147" t="str">
        <f t="shared" si="92"/>
        <v/>
      </c>
      <c r="BF203" s="147"/>
      <c r="BG203" s="147"/>
      <c r="BH203" s="151" t="str">
        <f>_xlfn.IFNA(INDEX(Constants!$B:$B,MATCH(BC203,Constants!A:A,0)),"")</f>
        <v/>
      </c>
      <c r="BI203" s="147" t="str">
        <f>IF(LEFT(B203,15)="Limited Company",Constants!$D$16,IFERROR(_xlfn.IFNA(IF(C203="Residential",IF(BK203&lt;75,INDEX(Constants!$B:$B,MATCH(VALUE(60)/100,Constants!$A:$A,0)),INDEX(Constants!$B:$B,MATCH(VALUE(BK203)/100,Constants!$A:$A,0))),IF(BK203&lt;60,INDEX(Constants!$C:$C,MATCH(VALUE(60)/100,Constants!$A:$A,0)),INDEX(Constants!$C:$C,MATCH(VALUE(BK203)/100,Constants!$A:$A,0)))),""),""))</f>
        <v/>
      </c>
      <c r="BJ203" s="147" t="str">
        <f t="shared" si="93"/>
        <v/>
      </c>
      <c r="BK203" s="147" t="str">
        <f>_xlfn.IFNA(VALUE(INDEX(Producer!$E:$E,MATCH($D203,Producer!$A:$A,0)))*100,"")</f>
        <v/>
      </c>
      <c r="BL203" s="146" t="str">
        <f>_xlfn.IFNA(IF(IFERROR(FIND("Part &amp; Part",B203),-10)&gt;0,"PP",IF(OR(LEFT(B203,25)="Residential Interest Only",INDEX(Producer!$P:$P,MATCH($D203,Producer!$A:$A,0))="IO",INDEX(Producer!$P:$P,MATCH($D203,Producer!$A:$A,0))="Retirement Interest Only"),"IO",IF($C203="BuyToLet","CI, IO","CI"))),"")</f>
        <v/>
      </c>
      <c r="BM203" s="152" t="str">
        <f>_xlfn.IFNA(IF(BL203="IO",100%,IF(AND(INDEX(Producer!$P:$P,MATCH($D203,Producer!$A:$A,0))="Residential Interest Only Part &amp; Part",BK203=75),80%,IF(C203="BuyToLet",100%,IF(BL203="Interest Only",100%,IF(AND(INDEX(Producer!$P:$P,MATCH($D203,Producer!$A:$A,0))="Residential Interest Only Part &amp; Part",BK203=60),100%,""))))),"")</f>
        <v/>
      </c>
      <c r="BN203" s="218" t="str">
        <f>_xlfn.IFNA(IF(VALUE(INDEX(Producer!$H:$H,MATCH($D203,Producer!$A:$A,0)))=0,"",VALUE(INDEX(Producer!$H:$H,MATCH($D203,Producer!$A:$A,0)))),"")</f>
        <v/>
      </c>
      <c r="BO203" s="153"/>
      <c r="BP203" s="153"/>
      <c r="BQ203" s="219" t="str">
        <f t="shared" si="94"/>
        <v/>
      </c>
      <c r="BR203" s="146"/>
      <c r="BS203" s="146"/>
      <c r="BT203" s="146"/>
      <c r="BU203" s="146"/>
      <c r="BV203" s="219" t="str">
        <f t="shared" si="95"/>
        <v/>
      </c>
      <c r="BW203" s="146"/>
      <c r="BX203" s="146"/>
      <c r="BY203" s="146" t="str">
        <f t="shared" si="96"/>
        <v/>
      </c>
      <c r="BZ203" s="146" t="str">
        <f t="shared" si="97"/>
        <v/>
      </c>
      <c r="CA203" s="146" t="str">
        <f t="shared" si="98"/>
        <v/>
      </c>
      <c r="CB203" s="146" t="str">
        <f t="shared" si="99"/>
        <v/>
      </c>
      <c r="CC203" s="146" t="str">
        <f>_xlfn.IFNA(IF(INDEX(Producer!$P:$P,MATCH($D203,Producer!$A:$A,0))="Help to Buy","Only available","No"),"")</f>
        <v/>
      </c>
      <c r="CD203" s="146" t="str">
        <f>_xlfn.IFNA(IF(INDEX(Producer!$P:$P,MATCH($D203,Producer!$A:$A,0))="Shared Ownership","Only available","No"),"")</f>
        <v/>
      </c>
      <c r="CE203" s="146" t="str">
        <f>_xlfn.IFNA(IF(INDEX(Producer!$P:$P,MATCH($D203,Producer!$A:$A,0))="Right to Buy","Only available","No"),"")</f>
        <v/>
      </c>
      <c r="CF203" s="146" t="str">
        <f t="shared" si="100"/>
        <v/>
      </c>
      <c r="CG203" s="146" t="str">
        <f>_xlfn.IFNA(IF(INDEX(Producer!$P:$P,MATCH($D203,Producer!$A:$A,0))="Retirement Interest Only","Only available","No"),"")</f>
        <v/>
      </c>
      <c r="CH203" s="146" t="str">
        <f t="shared" si="101"/>
        <v/>
      </c>
      <c r="CI203" s="146" t="str">
        <f>_xlfn.IFNA(IF(INDEX(Producer!$P:$P,MATCH($D203,Producer!$A:$A,0))="Intermediary Holiday Let","Only available","No"),"")</f>
        <v/>
      </c>
      <c r="CJ203" s="146" t="str">
        <f t="shared" si="102"/>
        <v/>
      </c>
      <c r="CK203" s="146" t="str">
        <f>_xlfn.IFNA(IF(OR(INDEX(Producer!$P:$P,MATCH($D203,Producer!$A:$A,0))="Intermediary Small HMO",INDEX(Producer!$P:$P,MATCH($D203,Producer!$A:$A,0))="Intermediary Large HMO"),"Only available","No"),"")</f>
        <v/>
      </c>
      <c r="CL203" s="146" t="str">
        <f t="shared" si="103"/>
        <v/>
      </c>
      <c r="CM203" s="146" t="str">
        <f t="shared" si="104"/>
        <v/>
      </c>
      <c r="CN203" s="146" t="str">
        <f t="shared" si="105"/>
        <v/>
      </c>
      <c r="CO203" s="146" t="str">
        <f t="shared" si="106"/>
        <v/>
      </c>
      <c r="CP203" s="146" t="str">
        <f t="shared" si="107"/>
        <v/>
      </c>
      <c r="CQ203" s="146" t="str">
        <f t="shared" si="108"/>
        <v/>
      </c>
      <c r="CR203" s="146" t="str">
        <f t="shared" si="109"/>
        <v/>
      </c>
      <c r="CS203" s="146" t="str">
        <f t="shared" si="110"/>
        <v/>
      </c>
      <c r="CT203" s="146" t="str">
        <f t="shared" si="111"/>
        <v/>
      </c>
      <c r="CU203" s="146"/>
    </row>
    <row r="204" spans="1:99" ht="16.399999999999999" customHeight="1" x14ac:dyDescent="0.35">
      <c r="A204" s="145" t="str">
        <f t="shared" si="84"/>
        <v/>
      </c>
      <c r="B204" s="145" t="str">
        <f>_xlfn.IFNA(_xlfn.CONCAT(INDEX(Producer!$P:$P,MATCH($D204,Producer!$A:$A,0))," ",IF(INDEX(Producer!$N:$N,MATCH($D204,Producer!$A:$A,0))="Yes","Green ",""),IF(AND(INDEX(Producer!$L:$L,MATCH($D204,Producer!$A:$A,0))="No",INDEX(Producer!$C:$C,MATCH($D204,Producer!$A:$A,0))="Fixed"),"Flexit ",""),INDEX(Producer!$B:$B,MATCH($D204,Producer!$A:$A,0))," Year ",INDEX(Producer!$C:$C,MATCH($D204,Producer!$A:$A,0))," ",VALUE(INDEX(Producer!$E:$E,MATCH($D204,Producer!$A:$A,0)))*100,"% LTV",IF(INDEX(Producer!$N:$N,MATCH($D204,Producer!$A:$A,0))="Yes"," (EPC A-C)","")," - ",IF(INDEX(Producer!$D:$D,MATCH($D204,Producer!$A:$A,0))="DLY","Daily","Annual")),"")</f>
        <v/>
      </c>
      <c r="C204" s="146" t="str">
        <f>_xlfn.IFNA(INDEX(Producer!$Q:$Q,MATCH($D204,Producer!$A:$A,0)),"")</f>
        <v/>
      </c>
      <c r="D204" s="146" t="str">
        <f>IFERROR(VALUE(MID(Producer!$R$2,IF($D203="",1/0,FIND(_xlfn.CONCAT($D202,$D203),Producer!$R$2)+10),5)),"")</f>
        <v/>
      </c>
      <c r="E204" s="146" t="str">
        <f t="shared" si="85"/>
        <v/>
      </c>
      <c r="F204" s="146"/>
      <c r="G204" s="147" t="str">
        <f>_xlfn.IFNA(VALUE(INDEX(Producer!$F:$F,MATCH($D204,Producer!$A:$A,0)))*100,"")</f>
        <v/>
      </c>
      <c r="H204" s="216" t="str">
        <f>_xlfn.IFNA(IFERROR(DATEVALUE(INDEX(Producer!$M:$M,MATCH($D204,Producer!$A:$A,0))),(INDEX(Producer!$M:$M,MATCH($D204,Producer!$A:$A,0)))),"")</f>
        <v/>
      </c>
      <c r="I204" s="217" t="str">
        <f>_xlfn.IFNA(VALUE(INDEX(Producer!$B:$B,MATCH($D204,Producer!$A:$A,0)))*12,"")</f>
        <v/>
      </c>
      <c r="J204" s="146" t="str">
        <f>_xlfn.IFNA(IF(C204="Residential",IF(VALUE(INDEX(Producer!$B:$B,MATCH($D204,Producer!$A:$A,0)))&lt;5,Constants!$C$10,""),IF(VALUE(INDEX(Producer!$B:$B,MATCH($D204,Producer!$A:$A,0)))&lt;5,Constants!$C$11,"")),"")</f>
        <v/>
      </c>
      <c r="K204" s="216" t="str">
        <f>_xlfn.IFNA(IF(($I204)&lt;60,DATE(YEAR(H204)+(5-VALUE(INDEX(Producer!$B:$B,MATCH($D204,Producer!$A:$A,0)))),MONTH(H204),DAY(H204)),""),"")</f>
        <v/>
      </c>
      <c r="L204" s="153" t="str">
        <f t="shared" si="86"/>
        <v/>
      </c>
      <c r="M204" s="146"/>
      <c r="N204" s="148"/>
      <c r="O204" s="148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  <c r="AB204" s="146"/>
      <c r="AC204" s="146"/>
      <c r="AD204" s="146"/>
      <c r="AE204" s="146"/>
      <c r="AF204" s="146"/>
      <c r="AG204" s="146"/>
      <c r="AH204" s="146"/>
      <c r="AI204" s="146"/>
      <c r="AJ204" s="146"/>
      <c r="AK204" s="146" t="str">
        <f>IF(D204="","",IF(C204="Residential",Constants!$B$10,Constants!$B$11))</f>
        <v/>
      </c>
      <c r="AL204" s="146" t="str">
        <f t="shared" si="87"/>
        <v/>
      </c>
      <c r="AM204" s="206" t="str">
        <f t="shared" si="88"/>
        <v/>
      </c>
      <c r="AN204" s="146" t="str">
        <f t="shared" si="89"/>
        <v/>
      </c>
      <c r="AO204" s="149" t="str">
        <f t="shared" si="90"/>
        <v/>
      </c>
      <c r="AP204" s="150" t="str">
        <f t="shared" si="91"/>
        <v/>
      </c>
      <c r="AQ204" s="146" t="str">
        <f>IFERROR(_xlfn.IFNA(IF($BA204="No",0,IF(INDEX(Constants!B:B,MATCH(($I204/12),Constants!$A:$A,0))=0,0,INDEX(Constants!B:B,MATCH(($I204/12),Constants!$A:$A,0)))),0),"")</f>
        <v/>
      </c>
      <c r="AR204" s="146" t="str">
        <f>IFERROR(_xlfn.IFNA(IF($BA204="No",0,IF(INDEX(Constants!C:C,MATCH(($I204/12),Constants!$A:$A,0))=0,0,INDEX(Constants!C:C,MATCH(($I204/12),Constants!$A:$A,0)))),0),"")</f>
        <v/>
      </c>
      <c r="AS204" s="146" t="str">
        <f>IFERROR(_xlfn.IFNA(IF($BA204="No",0,IF(INDEX(Constants!D:D,MATCH(($I204/12),Constants!$A:$A,0))=0,0,INDEX(Constants!D:D,MATCH(($I204/12),Constants!$A:$A,0)))),0),"")</f>
        <v/>
      </c>
      <c r="AT204" s="146" t="str">
        <f>IFERROR(_xlfn.IFNA(IF($BA204="No",0,IF(INDEX(Constants!E:E,MATCH(($I204/12),Constants!$A:$A,0))=0,0,INDEX(Constants!E:E,MATCH(($I204/12),Constants!$A:$A,0)))),0),"")</f>
        <v/>
      </c>
      <c r="AU204" s="146" t="str">
        <f>IFERROR(_xlfn.IFNA(IF($BA204="No",0,IF(INDEX(Constants!F:F,MATCH(($I204/12),Constants!$A:$A,0))=0,0,INDEX(Constants!F:F,MATCH(($I204/12),Constants!$A:$A,0)))),0),"")</f>
        <v/>
      </c>
      <c r="AV204" s="146" t="str">
        <f>IFERROR(_xlfn.IFNA(IF($BA204="No",0,IF(INDEX(Constants!G:G,MATCH(($I204/12),Constants!$A:$A,0))=0,0,INDEX(Constants!G:G,MATCH(($I204/12),Constants!$A:$A,0)))),0),"")</f>
        <v/>
      </c>
      <c r="AW204" s="146" t="str">
        <f>IFERROR(_xlfn.IFNA(IF($BA204="No",0,IF(INDEX(Constants!H:H,MATCH(($I204/12),Constants!$A:$A,0))=0,0,INDEX(Constants!H:H,MATCH(($I204/12),Constants!$A:$A,0)))),0),"")</f>
        <v/>
      </c>
      <c r="AX204" s="146" t="str">
        <f>IFERROR(_xlfn.IFNA(IF($BA204="No",0,IF(INDEX(Constants!I:I,MATCH(($I204/12),Constants!$A:$A,0))=0,0,INDEX(Constants!I:I,MATCH(($I204/12),Constants!$A:$A,0)))),0),"")</f>
        <v/>
      </c>
      <c r="AY204" s="146" t="str">
        <f>IFERROR(_xlfn.IFNA(IF($BA204="No",0,IF(INDEX(Constants!J:J,MATCH(($I204/12),Constants!$A:$A,0))=0,0,INDEX(Constants!J:J,MATCH(($I204/12),Constants!$A:$A,0)))),0),"")</f>
        <v/>
      </c>
      <c r="AZ204" s="146" t="str">
        <f>IFERROR(_xlfn.IFNA(IF($BA204="No",0,IF(INDEX(Constants!K:K,MATCH(($I204/12),Constants!$A:$A,0))=0,0,INDEX(Constants!K:K,MATCH(($I204/12),Constants!$A:$A,0)))),0),"")</f>
        <v/>
      </c>
      <c r="BA204" s="147" t="str">
        <f>_xlfn.IFNA(INDEX(Producer!$L:$L,MATCH($D204,Producer!$A:$A,0)),"")</f>
        <v/>
      </c>
      <c r="BB204" s="146" t="str">
        <f>IFERROR(IF(AQ204=0,"",IF(($I204/12)=15,_xlfn.CONCAT(Constants!$N$7,TEXT(DATE(YEAR(H204)-(($I204/12)-3),MONTH(H204),DAY(H204)),"dd/mm/yyyy"),", ",Constants!$P$7,TEXT(DATE(YEAR(H204)-(($I204/12)-8),MONTH(H204),DAY(H204)),"dd/mm/yyyy"),", ",Constants!$T$7,TEXT(DATE(YEAR(H204)-(($I204/12)-11),MONTH(H204),DAY(H204)),"dd/mm/yyyy"),", ",Constants!$V$7,TEXT(DATE(YEAR(H204)-(($I204/12)-13),MONTH(H204),DAY(H204)),"dd/mm/yyyy"),", ",Constants!$W$7,TEXT($H204,"dd/mm/yyyy")),IF(($I204/12)=10,_xlfn.CONCAT(Constants!$N$6,TEXT(DATE(YEAR(H204)-(($I204/12)-2),MONTH(H204),DAY(H204)),"dd/mm/yyyy"),", ",Constants!$P$6,TEXT(DATE(YEAR(H204)-(($I204/12)-6),MONTH(H204),DAY(H204)),"dd/mm/yyyy"),", ",Constants!$T$6,TEXT(DATE(YEAR(H204)-(($I204/12)-8),MONTH(H204),DAY(H204)),"dd/mm/yyyy"),", ",Constants!$V$6,TEXT(DATE(YEAR(H204)-(($I204/12)-9),MONTH(H204),DAY(H204)),"dd/mm/yyyy"),", ",Constants!$W$6,TEXT($H204,"dd/mm/yyyy")),IF(($I204/12)=5,_xlfn.CONCAT(Constants!$N$5,TEXT(DATE(YEAR(H204)-(($I204/12)-1),MONTH(H204),DAY(H204)),"dd/mm/yyyy"),", ",Constants!$O$5,TEXT(DATE(YEAR(H204)-(($I204/12)-2),MONTH(H204),DAY(H204)),"dd/mm/yyyy"),", ",Constants!$P$5,TEXT(DATE(YEAR(H204)-(($I204/12)-3),MONTH(H204),DAY(H204)),"dd/mm/yyyy"),", ",Constants!$Q$5,TEXT(DATE(YEAR(H204)-(($I204/12)-4),MONTH(H204),DAY(H204)),"dd/mm/yyyy"),", ",Constants!$R$5,TEXT($H204,"dd/mm/yyyy")),IF(($I204/12)=3,_xlfn.CONCAT(Constants!$N$4,TEXT(DATE(YEAR(H204)-(($I204/12)-1),MONTH(H204),DAY(H204)),"dd/mm/yyyy"),", ",Constants!$O$4,TEXT(DATE(YEAR(H204)-(($I204/12)-2),MONTH(H204),DAY(H204)),"dd/mm/yyyy"),", ",Constants!$P$4,TEXT($H204,"dd/mm/yyyy")),IF(($I204/12)=2,_xlfn.CONCAT(Constants!$N$3,TEXT(DATE(YEAR(H204)-(($I204/12)-1),MONTH(H204),DAY(H204)),"dd/mm/yyyy"),", ",Constants!$O$3,TEXT($H204,"dd/mm/yyyy")),IF(($I204/12)=1,_xlfn.CONCAT(Constants!$N$2,TEXT($H204,"dd/mm/yyyy")),"Update Constants"))))))),"")</f>
        <v/>
      </c>
      <c r="BC204" s="147" t="str">
        <f>_xlfn.IFNA(VALUE(INDEX(Producer!$K:$K,MATCH($D204,Producer!$A:$A,0))),"")</f>
        <v/>
      </c>
      <c r="BD204" s="147" t="str">
        <f>_xlfn.IFNA(INDEX(Producer!$I:$I,MATCH($D204,Producer!$A:$A,0)),"")</f>
        <v/>
      </c>
      <c r="BE204" s="147" t="str">
        <f t="shared" si="92"/>
        <v/>
      </c>
      <c r="BF204" s="147"/>
      <c r="BG204" s="147"/>
      <c r="BH204" s="151" t="str">
        <f>_xlfn.IFNA(INDEX(Constants!$B:$B,MATCH(BC204,Constants!A:A,0)),"")</f>
        <v/>
      </c>
      <c r="BI204" s="147" t="str">
        <f>IF(LEFT(B204,15)="Limited Company",Constants!$D$16,IFERROR(_xlfn.IFNA(IF(C204="Residential",IF(BK204&lt;75,INDEX(Constants!$B:$B,MATCH(VALUE(60)/100,Constants!$A:$A,0)),INDEX(Constants!$B:$B,MATCH(VALUE(BK204)/100,Constants!$A:$A,0))),IF(BK204&lt;60,INDEX(Constants!$C:$C,MATCH(VALUE(60)/100,Constants!$A:$A,0)),INDEX(Constants!$C:$C,MATCH(VALUE(BK204)/100,Constants!$A:$A,0)))),""),""))</f>
        <v/>
      </c>
      <c r="BJ204" s="147" t="str">
        <f t="shared" si="93"/>
        <v/>
      </c>
      <c r="BK204" s="147" t="str">
        <f>_xlfn.IFNA(VALUE(INDEX(Producer!$E:$E,MATCH($D204,Producer!$A:$A,0)))*100,"")</f>
        <v/>
      </c>
      <c r="BL204" s="146" t="str">
        <f>_xlfn.IFNA(IF(IFERROR(FIND("Part &amp; Part",B204),-10)&gt;0,"PP",IF(OR(LEFT(B204,25)="Residential Interest Only",INDEX(Producer!$P:$P,MATCH($D204,Producer!$A:$A,0))="IO",INDEX(Producer!$P:$P,MATCH($D204,Producer!$A:$A,0))="Retirement Interest Only"),"IO",IF($C204="BuyToLet","CI, IO","CI"))),"")</f>
        <v/>
      </c>
      <c r="BM204" s="152" t="str">
        <f>_xlfn.IFNA(IF(BL204="IO",100%,IF(AND(INDEX(Producer!$P:$P,MATCH($D204,Producer!$A:$A,0))="Residential Interest Only Part &amp; Part",BK204=75),80%,IF(C204="BuyToLet",100%,IF(BL204="Interest Only",100%,IF(AND(INDEX(Producer!$P:$P,MATCH($D204,Producer!$A:$A,0))="Residential Interest Only Part &amp; Part",BK204=60),100%,""))))),"")</f>
        <v/>
      </c>
      <c r="BN204" s="218" t="str">
        <f>_xlfn.IFNA(IF(VALUE(INDEX(Producer!$H:$H,MATCH($D204,Producer!$A:$A,0)))=0,"",VALUE(INDEX(Producer!$H:$H,MATCH($D204,Producer!$A:$A,0)))),"")</f>
        <v/>
      </c>
      <c r="BO204" s="153"/>
      <c r="BP204" s="153"/>
      <c r="BQ204" s="219" t="str">
        <f t="shared" si="94"/>
        <v/>
      </c>
      <c r="BR204" s="146"/>
      <c r="BS204" s="146"/>
      <c r="BT204" s="146"/>
      <c r="BU204" s="146"/>
      <c r="BV204" s="219" t="str">
        <f t="shared" si="95"/>
        <v/>
      </c>
      <c r="BW204" s="146"/>
      <c r="BX204" s="146"/>
      <c r="BY204" s="146" t="str">
        <f t="shared" si="96"/>
        <v/>
      </c>
      <c r="BZ204" s="146" t="str">
        <f t="shared" si="97"/>
        <v/>
      </c>
      <c r="CA204" s="146" t="str">
        <f t="shared" si="98"/>
        <v/>
      </c>
      <c r="CB204" s="146" t="str">
        <f t="shared" si="99"/>
        <v/>
      </c>
      <c r="CC204" s="146" t="str">
        <f>_xlfn.IFNA(IF(INDEX(Producer!$P:$P,MATCH($D204,Producer!$A:$A,0))="Help to Buy","Only available","No"),"")</f>
        <v/>
      </c>
      <c r="CD204" s="146" t="str">
        <f>_xlfn.IFNA(IF(INDEX(Producer!$P:$P,MATCH($D204,Producer!$A:$A,0))="Shared Ownership","Only available","No"),"")</f>
        <v/>
      </c>
      <c r="CE204" s="146" t="str">
        <f>_xlfn.IFNA(IF(INDEX(Producer!$P:$P,MATCH($D204,Producer!$A:$A,0))="Right to Buy","Only available","No"),"")</f>
        <v/>
      </c>
      <c r="CF204" s="146" t="str">
        <f t="shared" si="100"/>
        <v/>
      </c>
      <c r="CG204" s="146" t="str">
        <f>_xlfn.IFNA(IF(INDEX(Producer!$P:$P,MATCH($D204,Producer!$A:$A,0))="Retirement Interest Only","Only available","No"),"")</f>
        <v/>
      </c>
      <c r="CH204" s="146" t="str">
        <f t="shared" si="101"/>
        <v/>
      </c>
      <c r="CI204" s="146" t="str">
        <f>_xlfn.IFNA(IF(INDEX(Producer!$P:$P,MATCH($D204,Producer!$A:$A,0))="Intermediary Holiday Let","Only available","No"),"")</f>
        <v/>
      </c>
      <c r="CJ204" s="146" t="str">
        <f t="shared" si="102"/>
        <v/>
      </c>
      <c r="CK204" s="146" t="str">
        <f>_xlfn.IFNA(IF(OR(INDEX(Producer!$P:$P,MATCH($D204,Producer!$A:$A,0))="Intermediary Small HMO",INDEX(Producer!$P:$P,MATCH($D204,Producer!$A:$A,0))="Intermediary Large HMO"),"Only available","No"),"")</f>
        <v/>
      </c>
      <c r="CL204" s="146" t="str">
        <f t="shared" si="103"/>
        <v/>
      </c>
      <c r="CM204" s="146" t="str">
        <f t="shared" si="104"/>
        <v/>
      </c>
      <c r="CN204" s="146" t="str">
        <f t="shared" si="105"/>
        <v/>
      </c>
      <c r="CO204" s="146" t="str">
        <f t="shared" si="106"/>
        <v/>
      </c>
      <c r="CP204" s="146" t="str">
        <f t="shared" si="107"/>
        <v/>
      </c>
      <c r="CQ204" s="146" t="str">
        <f t="shared" si="108"/>
        <v/>
      </c>
      <c r="CR204" s="146" t="str">
        <f t="shared" si="109"/>
        <v/>
      </c>
      <c r="CS204" s="146" t="str">
        <f t="shared" si="110"/>
        <v/>
      </c>
      <c r="CT204" s="146" t="str">
        <f t="shared" si="111"/>
        <v/>
      </c>
      <c r="CU204" s="146"/>
    </row>
    <row r="205" spans="1:99" ht="16.399999999999999" customHeight="1" x14ac:dyDescent="0.35">
      <c r="A205" s="145" t="str">
        <f t="shared" si="84"/>
        <v/>
      </c>
      <c r="B205" s="145" t="str">
        <f>_xlfn.IFNA(_xlfn.CONCAT(INDEX(Producer!$P:$P,MATCH($D205,Producer!$A:$A,0))," ",IF(INDEX(Producer!$N:$N,MATCH($D205,Producer!$A:$A,0))="Yes","Green ",""),IF(AND(INDEX(Producer!$L:$L,MATCH($D205,Producer!$A:$A,0))="No",INDEX(Producer!$C:$C,MATCH($D205,Producer!$A:$A,0))="Fixed"),"Flexit ",""),INDEX(Producer!$B:$B,MATCH($D205,Producer!$A:$A,0))," Year ",INDEX(Producer!$C:$C,MATCH($D205,Producer!$A:$A,0))," ",VALUE(INDEX(Producer!$E:$E,MATCH($D205,Producer!$A:$A,0)))*100,"% LTV",IF(INDEX(Producer!$N:$N,MATCH($D205,Producer!$A:$A,0))="Yes"," (EPC A-C)","")," - ",IF(INDEX(Producer!$D:$D,MATCH($D205,Producer!$A:$A,0))="DLY","Daily","Annual")),"")</f>
        <v/>
      </c>
      <c r="C205" s="146" t="str">
        <f>_xlfn.IFNA(INDEX(Producer!$Q:$Q,MATCH($D205,Producer!$A:$A,0)),"")</f>
        <v/>
      </c>
      <c r="D205" s="146" t="str">
        <f>IFERROR(VALUE(MID(Producer!$R$2,IF($D204="",1/0,FIND(_xlfn.CONCAT($D203,$D204),Producer!$R$2)+10),5)),"")</f>
        <v/>
      </c>
      <c r="E205" s="146" t="str">
        <f t="shared" si="85"/>
        <v/>
      </c>
      <c r="F205" s="146"/>
      <c r="G205" s="147" t="str">
        <f>_xlfn.IFNA(VALUE(INDEX(Producer!$F:$F,MATCH($D205,Producer!$A:$A,0)))*100,"")</f>
        <v/>
      </c>
      <c r="H205" s="216" t="str">
        <f>_xlfn.IFNA(IFERROR(DATEVALUE(INDEX(Producer!$M:$M,MATCH($D205,Producer!$A:$A,0))),(INDEX(Producer!$M:$M,MATCH($D205,Producer!$A:$A,0)))),"")</f>
        <v/>
      </c>
      <c r="I205" s="217" t="str">
        <f>_xlfn.IFNA(VALUE(INDEX(Producer!$B:$B,MATCH($D205,Producer!$A:$A,0)))*12,"")</f>
        <v/>
      </c>
      <c r="J205" s="146" t="str">
        <f>_xlfn.IFNA(IF(C205="Residential",IF(VALUE(INDEX(Producer!$B:$B,MATCH($D205,Producer!$A:$A,0)))&lt;5,Constants!$C$10,""),IF(VALUE(INDEX(Producer!$B:$B,MATCH($D205,Producer!$A:$A,0)))&lt;5,Constants!$C$11,"")),"")</f>
        <v/>
      </c>
      <c r="K205" s="216" t="str">
        <f>_xlfn.IFNA(IF(($I205)&lt;60,DATE(YEAR(H205)+(5-VALUE(INDEX(Producer!$B:$B,MATCH($D205,Producer!$A:$A,0)))),MONTH(H205),DAY(H205)),""),"")</f>
        <v/>
      </c>
      <c r="L205" s="153" t="str">
        <f t="shared" si="86"/>
        <v/>
      </c>
      <c r="M205" s="146"/>
      <c r="N205" s="148"/>
      <c r="O205" s="148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146"/>
      <c r="AE205" s="146"/>
      <c r="AF205" s="146"/>
      <c r="AG205" s="146"/>
      <c r="AH205" s="146"/>
      <c r="AI205" s="146"/>
      <c r="AJ205" s="146"/>
      <c r="AK205" s="146" t="str">
        <f>IF(D205="","",IF(C205="Residential",Constants!$B$10,Constants!$B$11))</f>
        <v/>
      </c>
      <c r="AL205" s="146" t="str">
        <f t="shared" si="87"/>
        <v/>
      </c>
      <c r="AM205" s="206" t="str">
        <f t="shared" si="88"/>
        <v/>
      </c>
      <c r="AN205" s="146" t="str">
        <f t="shared" si="89"/>
        <v/>
      </c>
      <c r="AO205" s="149" t="str">
        <f t="shared" si="90"/>
        <v/>
      </c>
      <c r="AP205" s="150" t="str">
        <f t="shared" si="91"/>
        <v/>
      </c>
      <c r="AQ205" s="146" t="str">
        <f>IFERROR(_xlfn.IFNA(IF($BA205="No",0,IF(INDEX(Constants!B:B,MATCH(($I205/12),Constants!$A:$A,0))=0,0,INDEX(Constants!B:B,MATCH(($I205/12),Constants!$A:$A,0)))),0),"")</f>
        <v/>
      </c>
      <c r="AR205" s="146" t="str">
        <f>IFERROR(_xlfn.IFNA(IF($BA205="No",0,IF(INDEX(Constants!C:C,MATCH(($I205/12),Constants!$A:$A,0))=0,0,INDEX(Constants!C:C,MATCH(($I205/12),Constants!$A:$A,0)))),0),"")</f>
        <v/>
      </c>
      <c r="AS205" s="146" t="str">
        <f>IFERROR(_xlfn.IFNA(IF($BA205="No",0,IF(INDEX(Constants!D:D,MATCH(($I205/12),Constants!$A:$A,0))=0,0,INDEX(Constants!D:D,MATCH(($I205/12),Constants!$A:$A,0)))),0),"")</f>
        <v/>
      </c>
      <c r="AT205" s="146" t="str">
        <f>IFERROR(_xlfn.IFNA(IF($BA205="No",0,IF(INDEX(Constants!E:E,MATCH(($I205/12),Constants!$A:$A,0))=0,0,INDEX(Constants!E:E,MATCH(($I205/12),Constants!$A:$A,0)))),0),"")</f>
        <v/>
      </c>
      <c r="AU205" s="146" t="str">
        <f>IFERROR(_xlfn.IFNA(IF($BA205="No",0,IF(INDEX(Constants!F:F,MATCH(($I205/12),Constants!$A:$A,0))=0,0,INDEX(Constants!F:F,MATCH(($I205/12),Constants!$A:$A,0)))),0),"")</f>
        <v/>
      </c>
      <c r="AV205" s="146" t="str">
        <f>IFERROR(_xlfn.IFNA(IF($BA205="No",0,IF(INDEX(Constants!G:G,MATCH(($I205/12),Constants!$A:$A,0))=0,0,INDEX(Constants!G:G,MATCH(($I205/12),Constants!$A:$A,0)))),0),"")</f>
        <v/>
      </c>
      <c r="AW205" s="146" t="str">
        <f>IFERROR(_xlfn.IFNA(IF($BA205="No",0,IF(INDEX(Constants!H:H,MATCH(($I205/12),Constants!$A:$A,0))=0,0,INDEX(Constants!H:H,MATCH(($I205/12),Constants!$A:$A,0)))),0),"")</f>
        <v/>
      </c>
      <c r="AX205" s="146" t="str">
        <f>IFERROR(_xlfn.IFNA(IF($BA205="No",0,IF(INDEX(Constants!I:I,MATCH(($I205/12),Constants!$A:$A,0))=0,0,INDEX(Constants!I:I,MATCH(($I205/12),Constants!$A:$A,0)))),0),"")</f>
        <v/>
      </c>
      <c r="AY205" s="146" t="str">
        <f>IFERROR(_xlfn.IFNA(IF($BA205="No",0,IF(INDEX(Constants!J:J,MATCH(($I205/12),Constants!$A:$A,0))=0,0,INDEX(Constants!J:J,MATCH(($I205/12),Constants!$A:$A,0)))),0),"")</f>
        <v/>
      </c>
      <c r="AZ205" s="146" t="str">
        <f>IFERROR(_xlfn.IFNA(IF($BA205="No",0,IF(INDEX(Constants!K:K,MATCH(($I205/12),Constants!$A:$A,0))=0,0,INDEX(Constants!K:K,MATCH(($I205/12),Constants!$A:$A,0)))),0),"")</f>
        <v/>
      </c>
      <c r="BA205" s="147" t="str">
        <f>_xlfn.IFNA(INDEX(Producer!$L:$L,MATCH($D205,Producer!$A:$A,0)),"")</f>
        <v/>
      </c>
      <c r="BB205" s="146" t="str">
        <f>IFERROR(IF(AQ205=0,"",IF(($I205/12)=15,_xlfn.CONCAT(Constants!$N$7,TEXT(DATE(YEAR(H205)-(($I205/12)-3),MONTH(H205),DAY(H205)),"dd/mm/yyyy"),", ",Constants!$P$7,TEXT(DATE(YEAR(H205)-(($I205/12)-8),MONTH(H205),DAY(H205)),"dd/mm/yyyy"),", ",Constants!$T$7,TEXT(DATE(YEAR(H205)-(($I205/12)-11),MONTH(H205),DAY(H205)),"dd/mm/yyyy"),", ",Constants!$V$7,TEXT(DATE(YEAR(H205)-(($I205/12)-13),MONTH(H205),DAY(H205)),"dd/mm/yyyy"),", ",Constants!$W$7,TEXT($H205,"dd/mm/yyyy")),IF(($I205/12)=10,_xlfn.CONCAT(Constants!$N$6,TEXT(DATE(YEAR(H205)-(($I205/12)-2),MONTH(H205),DAY(H205)),"dd/mm/yyyy"),", ",Constants!$P$6,TEXT(DATE(YEAR(H205)-(($I205/12)-6),MONTH(H205),DAY(H205)),"dd/mm/yyyy"),", ",Constants!$T$6,TEXT(DATE(YEAR(H205)-(($I205/12)-8),MONTH(H205),DAY(H205)),"dd/mm/yyyy"),", ",Constants!$V$6,TEXT(DATE(YEAR(H205)-(($I205/12)-9),MONTH(H205),DAY(H205)),"dd/mm/yyyy"),", ",Constants!$W$6,TEXT($H205,"dd/mm/yyyy")),IF(($I205/12)=5,_xlfn.CONCAT(Constants!$N$5,TEXT(DATE(YEAR(H205)-(($I205/12)-1),MONTH(H205),DAY(H205)),"dd/mm/yyyy"),", ",Constants!$O$5,TEXT(DATE(YEAR(H205)-(($I205/12)-2),MONTH(H205),DAY(H205)),"dd/mm/yyyy"),", ",Constants!$P$5,TEXT(DATE(YEAR(H205)-(($I205/12)-3),MONTH(H205),DAY(H205)),"dd/mm/yyyy"),", ",Constants!$Q$5,TEXT(DATE(YEAR(H205)-(($I205/12)-4),MONTH(H205),DAY(H205)),"dd/mm/yyyy"),", ",Constants!$R$5,TEXT($H205,"dd/mm/yyyy")),IF(($I205/12)=3,_xlfn.CONCAT(Constants!$N$4,TEXT(DATE(YEAR(H205)-(($I205/12)-1),MONTH(H205),DAY(H205)),"dd/mm/yyyy"),", ",Constants!$O$4,TEXT(DATE(YEAR(H205)-(($I205/12)-2),MONTH(H205),DAY(H205)),"dd/mm/yyyy"),", ",Constants!$P$4,TEXT($H205,"dd/mm/yyyy")),IF(($I205/12)=2,_xlfn.CONCAT(Constants!$N$3,TEXT(DATE(YEAR(H205)-(($I205/12)-1),MONTH(H205),DAY(H205)),"dd/mm/yyyy"),", ",Constants!$O$3,TEXT($H205,"dd/mm/yyyy")),IF(($I205/12)=1,_xlfn.CONCAT(Constants!$N$2,TEXT($H205,"dd/mm/yyyy")),"Update Constants"))))))),"")</f>
        <v/>
      </c>
      <c r="BC205" s="147" t="str">
        <f>_xlfn.IFNA(VALUE(INDEX(Producer!$K:$K,MATCH($D205,Producer!$A:$A,0))),"")</f>
        <v/>
      </c>
      <c r="BD205" s="147" t="str">
        <f>_xlfn.IFNA(INDEX(Producer!$I:$I,MATCH($D205,Producer!$A:$A,0)),"")</f>
        <v/>
      </c>
      <c r="BE205" s="147" t="str">
        <f t="shared" si="92"/>
        <v/>
      </c>
      <c r="BF205" s="147"/>
      <c r="BG205" s="147"/>
      <c r="BH205" s="151" t="str">
        <f>_xlfn.IFNA(INDEX(Constants!$B:$B,MATCH(BC205,Constants!A:A,0)),"")</f>
        <v/>
      </c>
      <c r="BI205" s="147" t="str">
        <f>IF(LEFT(B205,15)="Limited Company",Constants!$D$16,IFERROR(_xlfn.IFNA(IF(C205="Residential",IF(BK205&lt;75,INDEX(Constants!$B:$B,MATCH(VALUE(60)/100,Constants!$A:$A,0)),INDEX(Constants!$B:$B,MATCH(VALUE(BK205)/100,Constants!$A:$A,0))),IF(BK205&lt;60,INDEX(Constants!$C:$C,MATCH(VALUE(60)/100,Constants!$A:$A,0)),INDEX(Constants!$C:$C,MATCH(VALUE(BK205)/100,Constants!$A:$A,0)))),""),""))</f>
        <v/>
      </c>
      <c r="BJ205" s="147" t="str">
        <f t="shared" si="93"/>
        <v/>
      </c>
      <c r="BK205" s="147" t="str">
        <f>_xlfn.IFNA(VALUE(INDEX(Producer!$E:$E,MATCH($D205,Producer!$A:$A,0)))*100,"")</f>
        <v/>
      </c>
      <c r="BL205" s="146" t="str">
        <f>_xlfn.IFNA(IF(IFERROR(FIND("Part &amp; Part",B205),-10)&gt;0,"PP",IF(OR(LEFT(B205,25)="Residential Interest Only",INDEX(Producer!$P:$P,MATCH($D205,Producer!$A:$A,0))="IO",INDEX(Producer!$P:$P,MATCH($D205,Producer!$A:$A,0))="Retirement Interest Only"),"IO",IF($C205="BuyToLet","CI, IO","CI"))),"")</f>
        <v/>
      </c>
      <c r="BM205" s="152" t="str">
        <f>_xlfn.IFNA(IF(BL205="IO",100%,IF(AND(INDEX(Producer!$P:$P,MATCH($D205,Producer!$A:$A,0))="Residential Interest Only Part &amp; Part",BK205=75),80%,IF(C205="BuyToLet",100%,IF(BL205="Interest Only",100%,IF(AND(INDEX(Producer!$P:$P,MATCH($D205,Producer!$A:$A,0))="Residential Interest Only Part &amp; Part",BK205=60),100%,""))))),"")</f>
        <v/>
      </c>
      <c r="BN205" s="218" t="str">
        <f>_xlfn.IFNA(IF(VALUE(INDEX(Producer!$H:$H,MATCH($D205,Producer!$A:$A,0)))=0,"",VALUE(INDEX(Producer!$H:$H,MATCH($D205,Producer!$A:$A,0)))),"")</f>
        <v/>
      </c>
      <c r="BO205" s="153"/>
      <c r="BP205" s="153"/>
      <c r="BQ205" s="219" t="str">
        <f t="shared" si="94"/>
        <v/>
      </c>
      <c r="BR205" s="146"/>
      <c r="BS205" s="146"/>
      <c r="BT205" s="146"/>
      <c r="BU205" s="146"/>
      <c r="BV205" s="219" t="str">
        <f t="shared" si="95"/>
        <v/>
      </c>
      <c r="BW205" s="146"/>
      <c r="BX205" s="146"/>
      <c r="BY205" s="146" t="str">
        <f t="shared" si="96"/>
        <v/>
      </c>
      <c r="BZ205" s="146" t="str">
        <f t="shared" si="97"/>
        <v/>
      </c>
      <c r="CA205" s="146" t="str">
        <f t="shared" si="98"/>
        <v/>
      </c>
      <c r="CB205" s="146" t="str">
        <f t="shared" si="99"/>
        <v/>
      </c>
      <c r="CC205" s="146" t="str">
        <f>_xlfn.IFNA(IF(INDEX(Producer!$P:$P,MATCH($D205,Producer!$A:$A,0))="Help to Buy","Only available","No"),"")</f>
        <v/>
      </c>
      <c r="CD205" s="146" t="str">
        <f>_xlfn.IFNA(IF(INDEX(Producer!$P:$P,MATCH($D205,Producer!$A:$A,0))="Shared Ownership","Only available","No"),"")</f>
        <v/>
      </c>
      <c r="CE205" s="146" t="str">
        <f>_xlfn.IFNA(IF(INDEX(Producer!$P:$P,MATCH($D205,Producer!$A:$A,0))="Right to Buy","Only available","No"),"")</f>
        <v/>
      </c>
      <c r="CF205" s="146" t="str">
        <f t="shared" si="100"/>
        <v/>
      </c>
      <c r="CG205" s="146" t="str">
        <f>_xlfn.IFNA(IF(INDEX(Producer!$P:$P,MATCH($D205,Producer!$A:$A,0))="Retirement Interest Only","Only available","No"),"")</f>
        <v/>
      </c>
      <c r="CH205" s="146" t="str">
        <f t="shared" si="101"/>
        <v/>
      </c>
      <c r="CI205" s="146" t="str">
        <f>_xlfn.IFNA(IF(INDEX(Producer!$P:$P,MATCH($D205,Producer!$A:$A,0))="Intermediary Holiday Let","Only available","No"),"")</f>
        <v/>
      </c>
      <c r="CJ205" s="146" t="str">
        <f t="shared" si="102"/>
        <v/>
      </c>
      <c r="CK205" s="146" t="str">
        <f>_xlfn.IFNA(IF(OR(INDEX(Producer!$P:$P,MATCH($D205,Producer!$A:$A,0))="Intermediary Small HMO",INDEX(Producer!$P:$P,MATCH($D205,Producer!$A:$A,0))="Intermediary Large HMO"),"Only available","No"),"")</f>
        <v/>
      </c>
      <c r="CL205" s="146" t="str">
        <f t="shared" si="103"/>
        <v/>
      </c>
      <c r="CM205" s="146" t="str">
        <f t="shared" si="104"/>
        <v/>
      </c>
      <c r="CN205" s="146" t="str">
        <f t="shared" si="105"/>
        <v/>
      </c>
      <c r="CO205" s="146" t="str">
        <f t="shared" si="106"/>
        <v/>
      </c>
      <c r="CP205" s="146" t="str">
        <f t="shared" si="107"/>
        <v/>
      </c>
      <c r="CQ205" s="146" t="str">
        <f t="shared" si="108"/>
        <v/>
      </c>
      <c r="CR205" s="146" t="str">
        <f t="shared" si="109"/>
        <v/>
      </c>
      <c r="CS205" s="146" t="str">
        <f t="shared" si="110"/>
        <v/>
      </c>
      <c r="CT205" s="146" t="str">
        <f t="shared" si="111"/>
        <v/>
      </c>
      <c r="CU205" s="146"/>
    </row>
    <row r="206" spans="1:99" ht="16.399999999999999" customHeight="1" x14ac:dyDescent="0.35">
      <c r="A206" s="145" t="str">
        <f t="shared" si="84"/>
        <v/>
      </c>
      <c r="B206" s="145" t="str">
        <f>_xlfn.IFNA(_xlfn.CONCAT(INDEX(Producer!$P:$P,MATCH($D206,Producer!$A:$A,0))," ",IF(INDEX(Producer!$N:$N,MATCH($D206,Producer!$A:$A,0))="Yes","Green ",""),IF(AND(INDEX(Producer!$L:$L,MATCH($D206,Producer!$A:$A,0))="No",INDEX(Producer!$C:$C,MATCH($D206,Producer!$A:$A,0))="Fixed"),"Flexit ",""),INDEX(Producer!$B:$B,MATCH($D206,Producer!$A:$A,0))," Year ",INDEX(Producer!$C:$C,MATCH($D206,Producer!$A:$A,0))," ",VALUE(INDEX(Producer!$E:$E,MATCH($D206,Producer!$A:$A,0)))*100,"% LTV",IF(INDEX(Producer!$N:$N,MATCH($D206,Producer!$A:$A,0))="Yes"," (EPC A-C)","")," - ",IF(INDEX(Producer!$D:$D,MATCH($D206,Producer!$A:$A,0))="DLY","Daily","Annual")),"")</f>
        <v/>
      </c>
      <c r="C206" s="146" t="str">
        <f>_xlfn.IFNA(INDEX(Producer!$Q:$Q,MATCH($D206,Producer!$A:$A,0)),"")</f>
        <v/>
      </c>
      <c r="D206" s="146" t="str">
        <f>IFERROR(VALUE(MID(Producer!$R$2,IF($D205="",1/0,FIND(_xlfn.CONCAT($D204,$D205),Producer!$R$2)+10),5)),"")</f>
        <v/>
      </c>
      <c r="E206" s="146" t="str">
        <f t="shared" si="85"/>
        <v/>
      </c>
      <c r="F206" s="146"/>
      <c r="G206" s="147" t="str">
        <f>_xlfn.IFNA(VALUE(INDEX(Producer!$F:$F,MATCH($D206,Producer!$A:$A,0)))*100,"")</f>
        <v/>
      </c>
      <c r="H206" s="216" t="str">
        <f>_xlfn.IFNA(IFERROR(DATEVALUE(INDEX(Producer!$M:$M,MATCH($D206,Producer!$A:$A,0))),(INDEX(Producer!$M:$M,MATCH($D206,Producer!$A:$A,0)))),"")</f>
        <v/>
      </c>
      <c r="I206" s="217" t="str">
        <f>_xlfn.IFNA(VALUE(INDEX(Producer!$B:$B,MATCH($D206,Producer!$A:$A,0)))*12,"")</f>
        <v/>
      </c>
      <c r="J206" s="146" t="str">
        <f>_xlfn.IFNA(IF(C206="Residential",IF(VALUE(INDEX(Producer!$B:$B,MATCH($D206,Producer!$A:$A,0)))&lt;5,Constants!$C$10,""),IF(VALUE(INDEX(Producer!$B:$B,MATCH($D206,Producer!$A:$A,0)))&lt;5,Constants!$C$11,"")),"")</f>
        <v/>
      </c>
      <c r="K206" s="216" t="str">
        <f>_xlfn.IFNA(IF(($I206)&lt;60,DATE(YEAR(H206)+(5-VALUE(INDEX(Producer!$B:$B,MATCH($D206,Producer!$A:$A,0)))),MONTH(H206),DAY(H206)),""),"")</f>
        <v/>
      </c>
      <c r="L206" s="153" t="str">
        <f t="shared" si="86"/>
        <v/>
      </c>
      <c r="M206" s="146"/>
      <c r="N206" s="148"/>
      <c r="O206" s="148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6"/>
      <c r="AK206" s="146" t="str">
        <f>IF(D206="","",IF(C206="Residential",Constants!$B$10,Constants!$B$11))</f>
        <v/>
      </c>
      <c r="AL206" s="146" t="str">
        <f t="shared" si="87"/>
        <v/>
      </c>
      <c r="AM206" s="206" t="str">
        <f t="shared" si="88"/>
        <v/>
      </c>
      <c r="AN206" s="146" t="str">
        <f t="shared" si="89"/>
        <v/>
      </c>
      <c r="AO206" s="149" t="str">
        <f t="shared" si="90"/>
        <v/>
      </c>
      <c r="AP206" s="150" t="str">
        <f t="shared" si="91"/>
        <v/>
      </c>
      <c r="AQ206" s="146" t="str">
        <f>IFERROR(_xlfn.IFNA(IF($BA206="No",0,IF(INDEX(Constants!B:B,MATCH(($I206/12),Constants!$A:$A,0))=0,0,INDEX(Constants!B:B,MATCH(($I206/12),Constants!$A:$A,0)))),0),"")</f>
        <v/>
      </c>
      <c r="AR206" s="146" t="str">
        <f>IFERROR(_xlfn.IFNA(IF($BA206="No",0,IF(INDEX(Constants!C:C,MATCH(($I206/12),Constants!$A:$A,0))=0,0,INDEX(Constants!C:C,MATCH(($I206/12),Constants!$A:$A,0)))),0),"")</f>
        <v/>
      </c>
      <c r="AS206" s="146" t="str">
        <f>IFERROR(_xlfn.IFNA(IF($BA206="No",0,IF(INDEX(Constants!D:D,MATCH(($I206/12),Constants!$A:$A,0))=0,0,INDEX(Constants!D:D,MATCH(($I206/12),Constants!$A:$A,0)))),0),"")</f>
        <v/>
      </c>
      <c r="AT206" s="146" t="str">
        <f>IFERROR(_xlfn.IFNA(IF($BA206="No",0,IF(INDEX(Constants!E:E,MATCH(($I206/12),Constants!$A:$A,0))=0,0,INDEX(Constants!E:E,MATCH(($I206/12),Constants!$A:$A,0)))),0),"")</f>
        <v/>
      </c>
      <c r="AU206" s="146" t="str">
        <f>IFERROR(_xlfn.IFNA(IF($BA206="No",0,IF(INDEX(Constants!F:F,MATCH(($I206/12),Constants!$A:$A,0))=0,0,INDEX(Constants!F:F,MATCH(($I206/12),Constants!$A:$A,0)))),0),"")</f>
        <v/>
      </c>
      <c r="AV206" s="146" t="str">
        <f>IFERROR(_xlfn.IFNA(IF($BA206="No",0,IF(INDEX(Constants!G:G,MATCH(($I206/12),Constants!$A:$A,0))=0,0,INDEX(Constants!G:G,MATCH(($I206/12),Constants!$A:$A,0)))),0),"")</f>
        <v/>
      </c>
      <c r="AW206" s="146" t="str">
        <f>IFERROR(_xlfn.IFNA(IF($BA206="No",0,IF(INDEX(Constants!H:H,MATCH(($I206/12),Constants!$A:$A,0))=0,0,INDEX(Constants!H:H,MATCH(($I206/12),Constants!$A:$A,0)))),0),"")</f>
        <v/>
      </c>
      <c r="AX206" s="146" t="str">
        <f>IFERROR(_xlfn.IFNA(IF($BA206="No",0,IF(INDEX(Constants!I:I,MATCH(($I206/12),Constants!$A:$A,0))=0,0,INDEX(Constants!I:I,MATCH(($I206/12),Constants!$A:$A,0)))),0),"")</f>
        <v/>
      </c>
      <c r="AY206" s="146" t="str">
        <f>IFERROR(_xlfn.IFNA(IF($BA206="No",0,IF(INDEX(Constants!J:J,MATCH(($I206/12),Constants!$A:$A,0))=0,0,INDEX(Constants!J:J,MATCH(($I206/12),Constants!$A:$A,0)))),0),"")</f>
        <v/>
      </c>
      <c r="AZ206" s="146" t="str">
        <f>IFERROR(_xlfn.IFNA(IF($BA206="No",0,IF(INDEX(Constants!K:K,MATCH(($I206/12),Constants!$A:$A,0))=0,0,INDEX(Constants!K:K,MATCH(($I206/12),Constants!$A:$A,0)))),0),"")</f>
        <v/>
      </c>
      <c r="BA206" s="147" t="str">
        <f>_xlfn.IFNA(INDEX(Producer!$L:$L,MATCH($D206,Producer!$A:$A,0)),"")</f>
        <v/>
      </c>
      <c r="BB206" s="146" t="str">
        <f>IFERROR(IF(AQ206=0,"",IF(($I206/12)=15,_xlfn.CONCAT(Constants!$N$7,TEXT(DATE(YEAR(H206)-(($I206/12)-3),MONTH(H206),DAY(H206)),"dd/mm/yyyy"),", ",Constants!$P$7,TEXT(DATE(YEAR(H206)-(($I206/12)-8),MONTH(H206),DAY(H206)),"dd/mm/yyyy"),", ",Constants!$T$7,TEXT(DATE(YEAR(H206)-(($I206/12)-11),MONTH(H206),DAY(H206)),"dd/mm/yyyy"),", ",Constants!$V$7,TEXT(DATE(YEAR(H206)-(($I206/12)-13),MONTH(H206),DAY(H206)),"dd/mm/yyyy"),", ",Constants!$W$7,TEXT($H206,"dd/mm/yyyy")),IF(($I206/12)=10,_xlfn.CONCAT(Constants!$N$6,TEXT(DATE(YEAR(H206)-(($I206/12)-2),MONTH(H206),DAY(H206)),"dd/mm/yyyy"),", ",Constants!$P$6,TEXT(DATE(YEAR(H206)-(($I206/12)-6),MONTH(H206),DAY(H206)),"dd/mm/yyyy"),", ",Constants!$T$6,TEXT(DATE(YEAR(H206)-(($I206/12)-8),MONTH(H206),DAY(H206)),"dd/mm/yyyy"),", ",Constants!$V$6,TEXT(DATE(YEAR(H206)-(($I206/12)-9),MONTH(H206),DAY(H206)),"dd/mm/yyyy"),", ",Constants!$W$6,TEXT($H206,"dd/mm/yyyy")),IF(($I206/12)=5,_xlfn.CONCAT(Constants!$N$5,TEXT(DATE(YEAR(H206)-(($I206/12)-1),MONTH(H206),DAY(H206)),"dd/mm/yyyy"),", ",Constants!$O$5,TEXT(DATE(YEAR(H206)-(($I206/12)-2),MONTH(H206),DAY(H206)),"dd/mm/yyyy"),", ",Constants!$P$5,TEXT(DATE(YEAR(H206)-(($I206/12)-3),MONTH(H206),DAY(H206)),"dd/mm/yyyy"),", ",Constants!$Q$5,TEXT(DATE(YEAR(H206)-(($I206/12)-4),MONTH(H206),DAY(H206)),"dd/mm/yyyy"),", ",Constants!$R$5,TEXT($H206,"dd/mm/yyyy")),IF(($I206/12)=3,_xlfn.CONCAT(Constants!$N$4,TEXT(DATE(YEAR(H206)-(($I206/12)-1),MONTH(H206),DAY(H206)),"dd/mm/yyyy"),", ",Constants!$O$4,TEXT(DATE(YEAR(H206)-(($I206/12)-2),MONTH(H206),DAY(H206)),"dd/mm/yyyy"),", ",Constants!$P$4,TEXT($H206,"dd/mm/yyyy")),IF(($I206/12)=2,_xlfn.CONCAT(Constants!$N$3,TEXT(DATE(YEAR(H206)-(($I206/12)-1),MONTH(H206),DAY(H206)),"dd/mm/yyyy"),", ",Constants!$O$3,TEXT($H206,"dd/mm/yyyy")),IF(($I206/12)=1,_xlfn.CONCAT(Constants!$N$2,TEXT($H206,"dd/mm/yyyy")),"Update Constants"))))))),"")</f>
        <v/>
      </c>
      <c r="BC206" s="147" t="str">
        <f>_xlfn.IFNA(VALUE(INDEX(Producer!$K:$K,MATCH($D206,Producer!$A:$A,0))),"")</f>
        <v/>
      </c>
      <c r="BD206" s="147" t="str">
        <f>_xlfn.IFNA(INDEX(Producer!$I:$I,MATCH($D206,Producer!$A:$A,0)),"")</f>
        <v/>
      </c>
      <c r="BE206" s="147" t="str">
        <f t="shared" si="92"/>
        <v/>
      </c>
      <c r="BF206" s="147"/>
      <c r="BG206" s="147"/>
      <c r="BH206" s="151" t="str">
        <f>_xlfn.IFNA(INDEX(Constants!$B:$B,MATCH(BC206,Constants!A:A,0)),"")</f>
        <v/>
      </c>
      <c r="BI206" s="147" t="str">
        <f>IF(LEFT(B206,15)="Limited Company",Constants!$D$16,IFERROR(_xlfn.IFNA(IF(C206="Residential",IF(BK206&lt;75,INDEX(Constants!$B:$B,MATCH(VALUE(60)/100,Constants!$A:$A,0)),INDEX(Constants!$B:$B,MATCH(VALUE(BK206)/100,Constants!$A:$A,0))),IF(BK206&lt;60,INDEX(Constants!$C:$C,MATCH(VALUE(60)/100,Constants!$A:$A,0)),INDEX(Constants!$C:$C,MATCH(VALUE(BK206)/100,Constants!$A:$A,0)))),""),""))</f>
        <v/>
      </c>
      <c r="BJ206" s="147" t="str">
        <f t="shared" si="93"/>
        <v/>
      </c>
      <c r="BK206" s="147" t="str">
        <f>_xlfn.IFNA(VALUE(INDEX(Producer!$E:$E,MATCH($D206,Producer!$A:$A,0)))*100,"")</f>
        <v/>
      </c>
      <c r="BL206" s="146" t="str">
        <f>_xlfn.IFNA(IF(IFERROR(FIND("Part &amp; Part",B206),-10)&gt;0,"PP",IF(OR(LEFT(B206,25)="Residential Interest Only",INDEX(Producer!$P:$P,MATCH($D206,Producer!$A:$A,0))="IO",INDEX(Producer!$P:$P,MATCH($D206,Producer!$A:$A,0))="Retirement Interest Only"),"IO",IF($C206="BuyToLet","CI, IO","CI"))),"")</f>
        <v/>
      </c>
      <c r="BM206" s="152" t="str">
        <f>_xlfn.IFNA(IF(BL206="IO",100%,IF(AND(INDEX(Producer!$P:$P,MATCH($D206,Producer!$A:$A,0))="Residential Interest Only Part &amp; Part",BK206=75),80%,IF(C206="BuyToLet",100%,IF(BL206="Interest Only",100%,IF(AND(INDEX(Producer!$P:$P,MATCH($D206,Producer!$A:$A,0))="Residential Interest Only Part &amp; Part",BK206=60),100%,""))))),"")</f>
        <v/>
      </c>
      <c r="BN206" s="218" t="str">
        <f>_xlfn.IFNA(IF(VALUE(INDEX(Producer!$H:$H,MATCH($D206,Producer!$A:$A,0)))=0,"",VALUE(INDEX(Producer!$H:$H,MATCH($D206,Producer!$A:$A,0)))),"")</f>
        <v/>
      </c>
      <c r="BO206" s="153"/>
      <c r="BP206" s="153"/>
      <c r="BQ206" s="219" t="str">
        <f t="shared" si="94"/>
        <v/>
      </c>
      <c r="BR206" s="146"/>
      <c r="BS206" s="146"/>
      <c r="BT206" s="146"/>
      <c r="BU206" s="146"/>
      <c r="BV206" s="219" t="str">
        <f t="shared" si="95"/>
        <v/>
      </c>
      <c r="BW206" s="146"/>
      <c r="BX206" s="146"/>
      <c r="BY206" s="146" t="str">
        <f t="shared" si="96"/>
        <v/>
      </c>
      <c r="BZ206" s="146" t="str">
        <f t="shared" si="97"/>
        <v/>
      </c>
      <c r="CA206" s="146" t="str">
        <f t="shared" si="98"/>
        <v/>
      </c>
      <c r="CB206" s="146" t="str">
        <f t="shared" si="99"/>
        <v/>
      </c>
      <c r="CC206" s="146" t="str">
        <f>_xlfn.IFNA(IF(INDEX(Producer!$P:$P,MATCH($D206,Producer!$A:$A,0))="Help to Buy","Only available","No"),"")</f>
        <v/>
      </c>
      <c r="CD206" s="146" t="str">
        <f>_xlfn.IFNA(IF(INDEX(Producer!$P:$P,MATCH($D206,Producer!$A:$A,0))="Shared Ownership","Only available","No"),"")</f>
        <v/>
      </c>
      <c r="CE206" s="146" t="str">
        <f>_xlfn.IFNA(IF(INDEX(Producer!$P:$P,MATCH($D206,Producer!$A:$A,0))="Right to Buy","Only available","No"),"")</f>
        <v/>
      </c>
      <c r="CF206" s="146" t="str">
        <f t="shared" si="100"/>
        <v/>
      </c>
      <c r="CG206" s="146" t="str">
        <f>_xlfn.IFNA(IF(INDEX(Producer!$P:$P,MATCH($D206,Producer!$A:$A,0))="Retirement Interest Only","Only available","No"),"")</f>
        <v/>
      </c>
      <c r="CH206" s="146" t="str">
        <f t="shared" si="101"/>
        <v/>
      </c>
      <c r="CI206" s="146" t="str">
        <f>_xlfn.IFNA(IF(INDEX(Producer!$P:$P,MATCH($D206,Producer!$A:$A,0))="Intermediary Holiday Let","Only available","No"),"")</f>
        <v/>
      </c>
      <c r="CJ206" s="146" t="str">
        <f t="shared" si="102"/>
        <v/>
      </c>
      <c r="CK206" s="146" t="str">
        <f>_xlfn.IFNA(IF(OR(INDEX(Producer!$P:$P,MATCH($D206,Producer!$A:$A,0))="Intermediary Small HMO",INDEX(Producer!$P:$P,MATCH($D206,Producer!$A:$A,0))="Intermediary Large HMO"),"Only available","No"),"")</f>
        <v/>
      </c>
      <c r="CL206" s="146" t="str">
        <f t="shared" si="103"/>
        <v/>
      </c>
      <c r="CM206" s="146" t="str">
        <f t="shared" si="104"/>
        <v/>
      </c>
      <c r="CN206" s="146" t="str">
        <f t="shared" si="105"/>
        <v/>
      </c>
      <c r="CO206" s="146" t="str">
        <f t="shared" si="106"/>
        <v/>
      </c>
      <c r="CP206" s="146" t="str">
        <f t="shared" si="107"/>
        <v/>
      </c>
      <c r="CQ206" s="146" t="str">
        <f t="shared" si="108"/>
        <v/>
      </c>
      <c r="CR206" s="146" t="str">
        <f t="shared" si="109"/>
        <v/>
      </c>
      <c r="CS206" s="146" t="str">
        <f t="shared" si="110"/>
        <v/>
      </c>
      <c r="CT206" s="146" t="str">
        <f t="shared" si="111"/>
        <v/>
      </c>
      <c r="CU206" s="146"/>
    </row>
    <row r="207" spans="1:99" ht="16.399999999999999" customHeight="1" x14ac:dyDescent="0.35">
      <c r="A207" s="145" t="str">
        <f t="shared" si="84"/>
        <v/>
      </c>
      <c r="B207" s="145" t="str">
        <f>_xlfn.IFNA(_xlfn.CONCAT(INDEX(Producer!$P:$P,MATCH($D207,Producer!$A:$A,0))," ",IF(INDEX(Producer!$N:$N,MATCH($D207,Producer!$A:$A,0))="Yes","Green ",""),IF(AND(INDEX(Producer!$L:$L,MATCH($D207,Producer!$A:$A,0))="No",INDEX(Producer!$C:$C,MATCH($D207,Producer!$A:$A,0))="Fixed"),"Flexit ",""),INDEX(Producer!$B:$B,MATCH($D207,Producer!$A:$A,0))," Year ",INDEX(Producer!$C:$C,MATCH($D207,Producer!$A:$A,0))," ",VALUE(INDEX(Producer!$E:$E,MATCH($D207,Producer!$A:$A,0)))*100,"% LTV",IF(INDEX(Producer!$N:$N,MATCH($D207,Producer!$A:$A,0))="Yes"," (EPC A-C)","")," - ",IF(INDEX(Producer!$D:$D,MATCH($D207,Producer!$A:$A,0))="DLY","Daily","Annual")),"")</f>
        <v/>
      </c>
      <c r="C207" s="146" t="str">
        <f>_xlfn.IFNA(INDEX(Producer!$Q:$Q,MATCH($D207,Producer!$A:$A,0)),"")</f>
        <v/>
      </c>
      <c r="D207" s="146" t="str">
        <f>IFERROR(VALUE(MID(Producer!$R$2,IF($D206="",1/0,FIND(_xlfn.CONCAT($D205,$D206),Producer!$R$2)+10),5)),"")</f>
        <v/>
      </c>
      <c r="E207" s="146" t="str">
        <f t="shared" si="85"/>
        <v/>
      </c>
      <c r="F207" s="146"/>
      <c r="G207" s="147" t="str">
        <f>_xlfn.IFNA(VALUE(INDEX(Producer!$F:$F,MATCH($D207,Producer!$A:$A,0)))*100,"")</f>
        <v/>
      </c>
      <c r="H207" s="216" t="str">
        <f>_xlfn.IFNA(IFERROR(DATEVALUE(INDEX(Producer!$M:$M,MATCH($D207,Producer!$A:$A,0))),(INDEX(Producer!$M:$M,MATCH($D207,Producer!$A:$A,0)))),"")</f>
        <v/>
      </c>
      <c r="I207" s="217" t="str">
        <f>_xlfn.IFNA(VALUE(INDEX(Producer!$B:$B,MATCH($D207,Producer!$A:$A,0)))*12,"")</f>
        <v/>
      </c>
      <c r="J207" s="146" t="str">
        <f>_xlfn.IFNA(IF(C207="Residential",IF(VALUE(INDEX(Producer!$B:$B,MATCH($D207,Producer!$A:$A,0)))&lt;5,Constants!$C$10,""),IF(VALUE(INDEX(Producer!$B:$B,MATCH($D207,Producer!$A:$A,0)))&lt;5,Constants!$C$11,"")),"")</f>
        <v/>
      </c>
      <c r="K207" s="216" t="str">
        <f>_xlfn.IFNA(IF(($I207)&lt;60,DATE(YEAR(H207)+(5-VALUE(INDEX(Producer!$B:$B,MATCH($D207,Producer!$A:$A,0)))),MONTH(H207),DAY(H207)),""),"")</f>
        <v/>
      </c>
      <c r="L207" s="153" t="str">
        <f t="shared" si="86"/>
        <v/>
      </c>
      <c r="M207" s="146"/>
      <c r="N207" s="148"/>
      <c r="O207" s="148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6"/>
      <c r="AK207" s="146" t="str">
        <f>IF(D207="","",IF(C207="Residential",Constants!$B$10,Constants!$B$11))</f>
        <v/>
      </c>
      <c r="AL207" s="146" t="str">
        <f t="shared" si="87"/>
        <v/>
      </c>
      <c r="AM207" s="206" t="str">
        <f t="shared" si="88"/>
        <v/>
      </c>
      <c r="AN207" s="146" t="str">
        <f t="shared" si="89"/>
        <v/>
      </c>
      <c r="AO207" s="149" t="str">
        <f t="shared" si="90"/>
        <v/>
      </c>
      <c r="AP207" s="150" t="str">
        <f t="shared" si="91"/>
        <v/>
      </c>
      <c r="AQ207" s="146" t="str">
        <f>IFERROR(_xlfn.IFNA(IF($BA207="No",0,IF(INDEX(Constants!B:B,MATCH(($I207/12),Constants!$A:$A,0))=0,0,INDEX(Constants!B:B,MATCH(($I207/12),Constants!$A:$A,0)))),0),"")</f>
        <v/>
      </c>
      <c r="AR207" s="146" t="str">
        <f>IFERROR(_xlfn.IFNA(IF($BA207="No",0,IF(INDEX(Constants!C:C,MATCH(($I207/12),Constants!$A:$A,0))=0,0,INDEX(Constants!C:C,MATCH(($I207/12),Constants!$A:$A,0)))),0),"")</f>
        <v/>
      </c>
      <c r="AS207" s="146" t="str">
        <f>IFERROR(_xlfn.IFNA(IF($BA207="No",0,IF(INDEX(Constants!D:D,MATCH(($I207/12),Constants!$A:$A,0))=0,0,INDEX(Constants!D:D,MATCH(($I207/12),Constants!$A:$A,0)))),0),"")</f>
        <v/>
      </c>
      <c r="AT207" s="146" t="str">
        <f>IFERROR(_xlfn.IFNA(IF($BA207="No",0,IF(INDEX(Constants!E:E,MATCH(($I207/12),Constants!$A:$A,0))=0,0,INDEX(Constants!E:E,MATCH(($I207/12),Constants!$A:$A,0)))),0),"")</f>
        <v/>
      </c>
      <c r="AU207" s="146" t="str">
        <f>IFERROR(_xlfn.IFNA(IF($BA207="No",0,IF(INDEX(Constants!F:F,MATCH(($I207/12),Constants!$A:$A,0))=0,0,INDEX(Constants!F:F,MATCH(($I207/12),Constants!$A:$A,0)))),0),"")</f>
        <v/>
      </c>
      <c r="AV207" s="146" t="str">
        <f>IFERROR(_xlfn.IFNA(IF($BA207="No",0,IF(INDEX(Constants!G:G,MATCH(($I207/12),Constants!$A:$A,0))=0,0,INDEX(Constants!G:G,MATCH(($I207/12),Constants!$A:$A,0)))),0),"")</f>
        <v/>
      </c>
      <c r="AW207" s="146" t="str">
        <f>IFERROR(_xlfn.IFNA(IF($BA207="No",0,IF(INDEX(Constants!H:H,MATCH(($I207/12),Constants!$A:$A,0))=0,0,INDEX(Constants!H:H,MATCH(($I207/12),Constants!$A:$A,0)))),0),"")</f>
        <v/>
      </c>
      <c r="AX207" s="146" t="str">
        <f>IFERROR(_xlfn.IFNA(IF($BA207="No",0,IF(INDEX(Constants!I:I,MATCH(($I207/12),Constants!$A:$A,0))=0,0,INDEX(Constants!I:I,MATCH(($I207/12),Constants!$A:$A,0)))),0),"")</f>
        <v/>
      </c>
      <c r="AY207" s="146" t="str">
        <f>IFERROR(_xlfn.IFNA(IF($BA207="No",0,IF(INDEX(Constants!J:J,MATCH(($I207/12),Constants!$A:$A,0))=0,0,INDEX(Constants!J:J,MATCH(($I207/12),Constants!$A:$A,0)))),0),"")</f>
        <v/>
      </c>
      <c r="AZ207" s="146" t="str">
        <f>IFERROR(_xlfn.IFNA(IF($BA207="No",0,IF(INDEX(Constants!K:K,MATCH(($I207/12),Constants!$A:$A,0))=0,0,INDEX(Constants!K:K,MATCH(($I207/12),Constants!$A:$A,0)))),0),"")</f>
        <v/>
      </c>
      <c r="BA207" s="147" t="str">
        <f>_xlfn.IFNA(INDEX(Producer!$L:$L,MATCH($D207,Producer!$A:$A,0)),"")</f>
        <v/>
      </c>
      <c r="BB207" s="146" t="str">
        <f>IFERROR(IF(AQ207=0,"",IF(($I207/12)=15,_xlfn.CONCAT(Constants!$N$7,TEXT(DATE(YEAR(H207)-(($I207/12)-3),MONTH(H207),DAY(H207)),"dd/mm/yyyy"),", ",Constants!$P$7,TEXT(DATE(YEAR(H207)-(($I207/12)-8),MONTH(H207),DAY(H207)),"dd/mm/yyyy"),", ",Constants!$T$7,TEXT(DATE(YEAR(H207)-(($I207/12)-11),MONTH(H207),DAY(H207)),"dd/mm/yyyy"),", ",Constants!$V$7,TEXT(DATE(YEAR(H207)-(($I207/12)-13),MONTH(H207),DAY(H207)),"dd/mm/yyyy"),", ",Constants!$W$7,TEXT($H207,"dd/mm/yyyy")),IF(($I207/12)=10,_xlfn.CONCAT(Constants!$N$6,TEXT(DATE(YEAR(H207)-(($I207/12)-2),MONTH(H207),DAY(H207)),"dd/mm/yyyy"),", ",Constants!$P$6,TEXT(DATE(YEAR(H207)-(($I207/12)-6),MONTH(H207),DAY(H207)),"dd/mm/yyyy"),", ",Constants!$T$6,TEXT(DATE(YEAR(H207)-(($I207/12)-8),MONTH(H207),DAY(H207)),"dd/mm/yyyy"),", ",Constants!$V$6,TEXT(DATE(YEAR(H207)-(($I207/12)-9),MONTH(H207),DAY(H207)),"dd/mm/yyyy"),", ",Constants!$W$6,TEXT($H207,"dd/mm/yyyy")),IF(($I207/12)=5,_xlfn.CONCAT(Constants!$N$5,TEXT(DATE(YEAR(H207)-(($I207/12)-1),MONTH(H207),DAY(H207)),"dd/mm/yyyy"),", ",Constants!$O$5,TEXT(DATE(YEAR(H207)-(($I207/12)-2),MONTH(H207),DAY(H207)),"dd/mm/yyyy"),", ",Constants!$P$5,TEXT(DATE(YEAR(H207)-(($I207/12)-3),MONTH(H207),DAY(H207)),"dd/mm/yyyy"),", ",Constants!$Q$5,TEXT(DATE(YEAR(H207)-(($I207/12)-4),MONTH(H207),DAY(H207)),"dd/mm/yyyy"),", ",Constants!$R$5,TEXT($H207,"dd/mm/yyyy")),IF(($I207/12)=3,_xlfn.CONCAT(Constants!$N$4,TEXT(DATE(YEAR(H207)-(($I207/12)-1),MONTH(H207),DAY(H207)),"dd/mm/yyyy"),", ",Constants!$O$4,TEXT(DATE(YEAR(H207)-(($I207/12)-2),MONTH(H207),DAY(H207)),"dd/mm/yyyy"),", ",Constants!$P$4,TEXT($H207,"dd/mm/yyyy")),IF(($I207/12)=2,_xlfn.CONCAT(Constants!$N$3,TEXT(DATE(YEAR(H207)-(($I207/12)-1),MONTH(H207),DAY(H207)),"dd/mm/yyyy"),", ",Constants!$O$3,TEXT($H207,"dd/mm/yyyy")),IF(($I207/12)=1,_xlfn.CONCAT(Constants!$N$2,TEXT($H207,"dd/mm/yyyy")),"Update Constants"))))))),"")</f>
        <v/>
      </c>
      <c r="BC207" s="147" t="str">
        <f>_xlfn.IFNA(VALUE(INDEX(Producer!$K:$K,MATCH($D207,Producer!$A:$A,0))),"")</f>
        <v/>
      </c>
      <c r="BD207" s="147" t="str">
        <f>_xlfn.IFNA(INDEX(Producer!$I:$I,MATCH($D207,Producer!$A:$A,0)),"")</f>
        <v/>
      </c>
      <c r="BE207" s="147" t="str">
        <f t="shared" si="92"/>
        <v/>
      </c>
      <c r="BF207" s="147"/>
      <c r="BG207" s="147"/>
      <c r="BH207" s="151" t="str">
        <f>_xlfn.IFNA(INDEX(Constants!$B:$B,MATCH(BC207,Constants!A:A,0)),"")</f>
        <v/>
      </c>
      <c r="BI207" s="147" t="str">
        <f>IF(LEFT(B207,15)="Limited Company",Constants!$D$16,IFERROR(_xlfn.IFNA(IF(C207="Residential",IF(BK207&lt;75,INDEX(Constants!$B:$B,MATCH(VALUE(60)/100,Constants!$A:$A,0)),INDEX(Constants!$B:$B,MATCH(VALUE(BK207)/100,Constants!$A:$A,0))),IF(BK207&lt;60,INDEX(Constants!$C:$C,MATCH(VALUE(60)/100,Constants!$A:$A,0)),INDEX(Constants!$C:$C,MATCH(VALUE(BK207)/100,Constants!$A:$A,0)))),""),""))</f>
        <v/>
      </c>
      <c r="BJ207" s="147" t="str">
        <f t="shared" si="93"/>
        <v/>
      </c>
      <c r="BK207" s="147" t="str">
        <f>_xlfn.IFNA(VALUE(INDEX(Producer!$E:$E,MATCH($D207,Producer!$A:$A,0)))*100,"")</f>
        <v/>
      </c>
      <c r="BL207" s="146" t="str">
        <f>_xlfn.IFNA(IF(IFERROR(FIND("Part &amp; Part",B207),-10)&gt;0,"PP",IF(OR(LEFT(B207,25)="Residential Interest Only",INDEX(Producer!$P:$P,MATCH($D207,Producer!$A:$A,0))="IO",INDEX(Producer!$P:$P,MATCH($D207,Producer!$A:$A,0))="Retirement Interest Only"),"IO",IF($C207="BuyToLet","CI, IO","CI"))),"")</f>
        <v/>
      </c>
      <c r="BM207" s="152" t="str">
        <f>_xlfn.IFNA(IF(BL207="IO",100%,IF(AND(INDEX(Producer!$P:$P,MATCH($D207,Producer!$A:$A,0))="Residential Interest Only Part &amp; Part",BK207=75),80%,IF(C207="BuyToLet",100%,IF(BL207="Interest Only",100%,IF(AND(INDEX(Producer!$P:$P,MATCH($D207,Producer!$A:$A,0))="Residential Interest Only Part &amp; Part",BK207=60),100%,""))))),"")</f>
        <v/>
      </c>
      <c r="BN207" s="218" t="str">
        <f>_xlfn.IFNA(IF(VALUE(INDEX(Producer!$H:$H,MATCH($D207,Producer!$A:$A,0)))=0,"",VALUE(INDEX(Producer!$H:$H,MATCH($D207,Producer!$A:$A,0)))),"")</f>
        <v/>
      </c>
      <c r="BO207" s="153"/>
      <c r="BP207" s="153"/>
      <c r="BQ207" s="219" t="str">
        <f t="shared" si="94"/>
        <v/>
      </c>
      <c r="BR207" s="146"/>
      <c r="BS207" s="146"/>
      <c r="BT207" s="146"/>
      <c r="BU207" s="146"/>
      <c r="BV207" s="219" t="str">
        <f t="shared" si="95"/>
        <v/>
      </c>
      <c r="BW207" s="146"/>
      <c r="BX207" s="146"/>
      <c r="BY207" s="146" t="str">
        <f t="shared" si="96"/>
        <v/>
      </c>
      <c r="BZ207" s="146" t="str">
        <f t="shared" si="97"/>
        <v/>
      </c>
      <c r="CA207" s="146" t="str">
        <f t="shared" si="98"/>
        <v/>
      </c>
      <c r="CB207" s="146" t="str">
        <f t="shared" si="99"/>
        <v/>
      </c>
      <c r="CC207" s="146" t="str">
        <f>_xlfn.IFNA(IF(INDEX(Producer!$P:$P,MATCH($D207,Producer!$A:$A,0))="Help to Buy","Only available","No"),"")</f>
        <v/>
      </c>
      <c r="CD207" s="146" t="str">
        <f>_xlfn.IFNA(IF(INDEX(Producer!$P:$P,MATCH($D207,Producer!$A:$A,0))="Shared Ownership","Only available","No"),"")</f>
        <v/>
      </c>
      <c r="CE207" s="146" t="str">
        <f>_xlfn.IFNA(IF(INDEX(Producer!$P:$P,MATCH($D207,Producer!$A:$A,0))="Right to Buy","Only available","No"),"")</f>
        <v/>
      </c>
      <c r="CF207" s="146" t="str">
        <f t="shared" si="100"/>
        <v/>
      </c>
      <c r="CG207" s="146" t="str">
        <f>_xlfn.IFNA(IF(INDEX(Producer!$P:$P,MATCH($D207,Producer!$A:$A,0))="Retirement Interest Only","Only available","No"),"")</f>
        <v/>
      </c>
      <c r="CH207" s="146" t="str">
        <f t="shared" si="101"/>
        <v/>
      </c>
      <c r="CI207" s="146" t="str">
        <f>_xlfn.IFNA(IF(INDEX(Producer!$P:$P,MATCH($D207,Producer!$A:$A,0))="Intermediary Holiday Let","Only available","No"),"")</f>
        <v/>
      </c>
      <c r="CJ207" s="146" t="str">
        <f t="shared" si="102"/>
        <v/>
      </c>
      <c r="CK207" s="146" t="str">
        <f>_xlfn.IFNA(IF(OR(INDEX(Producer!$P:$P,MATCH($D207,Producer!$A:$A,0))="Intermediary Small HMO",INDEX(Producer!$P:$P,MATCH($D207,Producer!$A:$A,0))="Intermediary Large HMO"),"Only available","No"),"")</f>
        <v/>
      </c>
      <c r="CL207" s="146" t="str">
        <f t="shared" si="103"/>
        <v/>
      </c>
      <c r="CM207" s="146" t="str">
        <f t="shared" si="104"/>
        <v/>
      </c>
      <c r="CN207" s="146" t="str">
        <f t="shared" si="105"/>
        <v/>
      </c>
      <c r="CO207" s="146" t="str">
        <f t="shared" si="106"/>
        <v/>
      </c>
      <c r="CP207" s="146" t="str">
        <f t="shared" si="107"/>
        <v/>
      </c>
      <c r="CQ207" s="146" t="str">
        <f t="shared" si="108"/>
        <v/>
      </c>
      <c r="CR207" s="146" t="str">
        <f t="shared" si="109"/>
        <v/>
      </c>
      <c r="CS207" s="146" t="str">
        <f t="shared" si="110"/>
        <v/>
      </c>
      <c r="CT207" s="146" t="str">
        <f t="shared" si="111"/>
        <v/>
      </c>
      <c r="CU207" s="146"/>
    </row>
    <row r="208" spans="1:99" ht="16.399999999999999" customHeight="1" x14ac:dyDescent="0.35">
      <c r="A208" s="145" t="str">
        <f t="shared" si="84"/>
        <v/>
      </c>
      <c r="B208" s="145" t="str">
        <f>_xlfn.IFNA(_xlfn.CONCAT(INDEX(Producer!$P:$P,MATCH($D208,Producer!$A:$A,0))," ",IF(INDEX(Producer!$N:$N,MATCH($D208,Producer!$A:$A,0))="Yes","Green ",""),IF(AND(INDEX(Producer!$L:$L,MATCH($D208,Producer!$A:$A,0))="No",INDEX(Producer!$C:$C,MATCH($D208,Producer!$A:$A,0))="Fixed"),"Flexit ",""),INDEX(Producer!$B:$B,MATCH($D208,Producer!$A:$A,0))," Year ",INDEX(Producer!$C:$C,MATCH($D208,Producer!$A:$A,0))," ",VALUE(INDEX(Producer!$E:$E,MATCH($D208,Producer!$A:$A,0)))*100,"% LTV",IF(INDEX(Producer!$N:$N,MATCH($D208,Producer!$A:$A,0))="Yes"," (EPC A-C)","")," - ",IF(INDEX(Producer!$D:$D,MATCH($D208,Producer!$A:$A,0))="DLY","Daily","Annual")),"")</f>
        <v/>
      </c>
      <c r="C208" s="146" t="str">
        <f>_xlfn.IFNA(INDEX(Producer!$Q:$Q,MATCH($D208,Producer!$A:$A,0)),"")</f>
        <v/>
      </c>
      <c r="D208" s="146" t="str">
        <f>IFERROR(VALUE(MID(Producer!$R$2,IF($D207="",1/0,FIND(_xlfn.CONCAT($D206,$D207),Producer!$R$2)+10),5)),"")</f>
        <v/>
      </c>
      <c r="E208" s="146" t="str">
        <f t="shared" si="85"/>
        <v/>
      </c>
      <c r="F208" s="146"/>
      <c r="G208" s="147" t="str">
        <f>_xlfn.IFNA(VALUE(INDEX(Producer!$F:$F,MATCH($D208,Producer!$A:$A,0)))*100,"")</f>
        <v/>
      </c>
      <c r="H208" s="216" t="str">
        <f>_xlfn.IFNA(IFERROR(DATEVALUE(INDEX(Producer!$M:$M,MATCH($D208,Producer!$A:$A,0))),(INDEX(Producer!$M:$M,MATCH($D208,Producer!$A:$A,0)))),"")</f>
        <v/>
      </c>
      <c r="I208" s="217" t="str">
        <f>_xlfn.IFNA(VALUE(INDEX(Producer!$B:$B,MATCH($D208,Producer!$A:$A,0)))*12,"")</f>
        <v/>
      </c>
      <c r="J208" s="146" t="str">
        <f>_xlfn.IFNA(IF(C208="Residential",IF(VALUE(INDEX(Producer!$B:$B,MATCH($D208,Producer!$A:$A,0)))&lt;5,Constants!$C$10,""),IF(VALUE(INDEX(Producer!$B:$B,MATCH($D208,Producer!$A:$A,0)))&lt;5,Constants!$C$11,"")),"")</f>
        <v/>
      </c>
      <c r="K208" s="216" t="str">
        <f>_xlfn.IFNA(IF(($I208)&lt;60,DATE(YEAR(H208)+(5-VALUE(INDEX(Producer!$B:$B,MATCH($D208,Producer!$A:$A,0)))),MONTH(H208),DAY(H208)),""),"")</f>
        <v/>
      </c>
      <c r="L208" s="153" t="str">
        <f t="shared" si="86"/>
        <v/>
      </c>
      <c r="M208" s="146"/>
      <c r="N208" s="148"/>
      <c r="O208" s="148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6"/>
      <c r="AK208" s="146" t="str">
        <f>IF(D208="","",IF(C208="Residential",Constants!$B$10,Constants!$B$11))</f>
        <v/>
      </c>
      <c r="AL208" s="146" t="str">
        <f t="shared" si="87"/>
        <v/>
      </c>
      <c r="AM208" s="206" t="str">
        <f t="shared" si="88"/>
        <v/>
      </c>
      <c r="AN208" s="146" t="str">
        <f t="shared" si="89"/>
        <v/>
      </c>
      <c r="AO208" s="149" t="str">
        <f t="shared" si="90"/>
        <v/>
      </c>
      <c r="AP208" s="150" t="str">
        <f t="shared" si="91"/>
        <v/>
      </c>
      <c r="AQ208" s="146" t="str">
        <f>IFERROR(_xlfn.IFNA(IF($BA208="No",0,IF(INDEX(Constants!B:B,MATCH(($I208/12),Constants!$A:$A,0))=0,0,INDEX(Constants!B:B,MATCH(($I208/12),Constants!$A:$A,0)))),0),"")</f>
        <v/>
      </c>
      <c r="AR208" s="146" t="str">
        <f>IFERROR(_xlfn.IFNA(IF($BA208="No",0,IF(INDEX(Constants!C:C,MATCH(($I208/12),Constants!$A:$A,0))=0,0,INDEX(Constants!C:C,MATCH(($I208/12),Constants!$A:$A,0)))),0),"")</f>
        <v/>
      </c>
      <c r="AS208" s="146" t="str">
        <f>IFERROR(_xlfn.IFNA(IF($BA208="No",0,IF(INDEX(Constants!D:D,MATCH(($I208/12),Constants!$A:$A,0))=0,0,INDEX(Constants!D:D,MATCH(($I208/12),Constants!$A:$A,0)))),0),"")</f>
        <v/>
      </c>
      <c r="AT208" s="146" t="str">
        <f>IFERROR(_xlfn.IFNA(IF($BA208="No",0,IF(INDEX(Constants!E:E,MATCH(($I208/12),Constants!$A:$A,0))=0,0,INDEX(Constants!E:E,MATCH(($I208/12),Constants!$A:$A,0)))),0),"")</f>
        <v/>
      </c>
      <c r="AU208" s="146" t="str">
        <f>IFERROR(_xlfn.IFNA(IF($BA208="No",0,IF(INDEX(Constants!F:F,MATCH(($I208/12),Constants!$A:$A,0))=0,0,INDEX(Constants!F:F,MATCH(($I208/12),Constants!$A:$A,0)))),0),"")</f>
        <v/>
      </c>
      <c r="AV208" s="146" t="str">
        <f>IFERROR(_xlfn.IFNA(IF($BA208="No",0,IF(INDEX(Constants!G:G,MATCH(($I208/12),Constants!$A:$A,0))=0,0,INDEX(Constants!G:G,MATCH(($I208/12),Constants!$A:$A,0)))),0),"")</f>
        <v/>
      </c>
      <c r="AW208" s="146" t="str">
        <f>IFERROR(_xlfn.IFNA(IF($BA208="No",0,IF(INDEX(Constants!H:H,MATCH(($I208/12),Constants!$A:$A,0))=0,0,INDEX(Constants!H:H,MATCH(($I208/12),Constants!$A:$A,0)))),0),"")</f>
        <v/>
      </c>
      <c r="AX208" s="146" t="str">
        <f>IFERROR(_xlfn.IFNA(IF($BA208="No",0,IF(INDEX(Constants!I:I,MATCH(($I208/12),Constants!$A:$A,0))=0,0,INDEX(Constants!I:I,MATCH(($I208/12),Constants!$A:$A,0)))),0),"")</f>
        <v/>
      </c>
      <c r="AY208" s="146" t="str">
        <f>IFERROR(_xlfn.IFNA(IF($BA208="No",0,IF(INDEX(Constants!J:J,MATCH(($I208/12),Constants!$A:$A,0))=0,0,INDEX(Constants!J:J,MATCH(($I208/12),Constants!$A:$A,0)))),0),"")</f>
        <v/>
      </c>
      <c r="AZ208" s="146" t="str">
        <f>IFERROR(_xlfn.IFNA(IF($BA208="No",0,IF(INDEX(Constants!K:K,MATCH(($I208/12),Constants!$A:$A,0))=0,0,INDEX(Constants!K:K,MATCH(($I208/12),Constants!$A:$A,0)))),0),"")</f>
        <v/>
      </c>
      <c r="BA208" s="147" t="str">
        <f>_xlfn.IFNA(INDEX(Producer!$L:$L,MATCH($D208,Producer!$A:$A,0)),"")</f>
        <v/>
      </c>
      <c r="BB208" s="146" t="str">
        <f>IFERROR(IF(AQ208=0,"",IF(($I208/12)=15,_xlfn.CONCAT(Constants!$N$7,TEXT(DATE(YEAR(H208)-(($I208/12)-3),MONTH(H208),DAY(H208)),"dd/mm/yyyy"),", ",Constants!$P$7,TEXT(DATE(YEAR(H208)-(($I208/12)-8),MONTH(H208),DAY(H208)),"dd/mm/yyyy"),", ",Constants!$T$7,TEXT(DATE(YEAR(H208)-(($I208/12)-11),MONTH(H208),DAY(H208)),"dd/mm/yyyy"),", ",Constants!$V$7,TEXT(DATE(YEAR(H208)-(($I208/12)-13),MONTH(H208),DAY(H208)),"dd/mm/yyyy"),", ",Constants!$W$7,TEXT($H208,"dd/mm/yyyy")),IF(($I208/12)=10,_xlfn.CONCAT(Constants!$N$6,TEXT(DATE(YEAR(H208)-(($I208/12)-2),MONTH(H208),DAY(H208)),"dd/mm/yyyy"),", ",Constants!$P$6,TEXT(DATE(YEAR(H208)-(($I208/12)-6),MONTH(H208),DAY(H208)),"dd/mm/yyyy"),", ",Constants!$T$6,TEXT(DATE(YEAR(H208)-(($I208/12)-8),MONTH(H208),DAY(H208)),"dd/mm/yyyy"),", ",Constants!$V$6,TEXT(DATE(YEAR(H208)-(($I208/12)-9),MONTH(H208),DAY(H208)),"dd/mm/yyyy"),", ",Constants!$W$6,TEXT($H208,"dd/mm/yyyy")),IF(($I208/12)=5,_xlfn.CONCAT(Constants!$N$5,TEXT(DATE(YEAR(H208)-(($I208/12)-1),MONTH(H208),DAY(H208)),"dd/mm/yyyy"),", ",Constants!$O$5,TEXT(DATE(YEAR(H208)-(($I208/12)-2),MONTH(H208),DAY(H208)),"dd/mm/yyyy"),", ",Constants!$P$5,TEXT(DATE(YEAR(H208)-(($I208/12)-3),MONTH(H208),DAY(H208)),"dd/mm/yyyy"),", ",Constants!$Q$5,TEXT(DATE(YEAR(H208)-(($I208/12)-4),MONTH(H208),DAY(H208)),"dd/mm/yyyy"),", ",Constants!$R$5,TEXT($H208,"dd/mm/yyyy")),IF(($I208/12)=3,_xlfn.CONCAT(Constants!$N$4,TEXT(DATE(YEAR(H208)-(($I208/12)-1),MONTH(H208),DAY(H208)),"dd/mm/yyyy"),", ",Constants!$O$4,TEXT(DATE(YEAR(H208)-(($I208/12)-2),MONTH(H208),DAY(H208)),"dd/mm/yyyy"),", ",Constants!$P$4,TEXT($H208,"dd/mm/yyyy")),IF(($I208/12)=2,_xlfn.CONCAT(Constants!$N$3,TEXT(DATE(YEAR(H208)-(($I208/12)-1),MONTH(H208),DAY(H208)),"dd/mm/yyyy"),", ",Constants!$O$3,TEXT($H208,"dd/mm/yyyy")),IF(($I208/12)=1,_xlfn.CONCAT(Constants!$N$2,TEXT($H208,"dd/mm/yyyy")),"Update Constants"))))))),"")</f>
        <v/>
      </c>
      <c r="BC208" s="147" t="str">
        <f>_xlfn.IFNA(VALUE(INDEX(Producer!$K:$K,MATCH($D208,Producer!$A:$A,0))),"")</f>
        <v/>
      </c>
      <c r="BD208" s="147" t="str">
        <f>_xlfn.IFNA(INDEX(Producer!$I:$I,MATCH($D208,Producer!$A:$A,0)),"")</f>
        <v/>
      </c>
      <c r="BE208" s="147" t="str">
        <f t="shared" si="92"/>
        <v/>
      </c>
      <c r="BF208" s="147"/>
      <c r="BG208" s="147"/>
      <c r="BH208" s="151" t="str">
        <f>_xlfn.IFNA(INDEX(Constants!$B:$B,MATCH(BC208,Constants!A:A,0)),"")</f>
        <v/>
      </c>
      <c r="BI208" s="147" t="str">
        <f>IF(LEFT(B208,15)="Limited Company",Constants!$D$16,IFERROR(_xlfn.IFNA(IF(C208="Residential",IF(BK208&lt;75,INDEX(Constants!$B:$B,MATCH(VALUE(60)/100,Constants!$A:$A,0)),INDEX(Constants!$B:$B,MATCH(VALUE(BK208)/100,Constants!$A:$A,0))),IF(BK208&lt;60,INDEX(Constants!$C:$C,MATCH(VALUE(60)/100,Constants!$A:$A,0)),INDEX(Constants!$C:$C,MATCH(VALUE(BK208)/100,Constants!$A:$A,0)))),""),""))</f>
        <v/>
      </c>
      <c r="BJ208" s="147" t="str">
        <f t="shared" si="93"/>
        <v/>
      </c>
      <c r="BK208" s="147" t="str">
        <f>_xlfn.IFNA(VALUE(INDEX(Producer!$E:$E,MATCH($D208,Producer!$A:$A,0)))*100,"")</f>
        <v/>
      </c>
      <c r="BL208" s="146" t="str">
        <f>_xlfn.IFNA(IF(IFERROR(FIND("Part &amp; Part",B208),-10)&gt;0,"PP",IF(OR(LEFT(B208,25)="Residential Interest Only",INDEX(Producer!$P:$P,MATCH($D208,Producer!$A:$A,0))="IO",INDEX(Producer!$P:$P,MATCH($D208,Producer!$A:$A,0))="Retirement Interest Only"),"IO",IF($C208="BuyToLet","CI, IO","CI"))),"")</f>
        <v/>
      </c>
      <c r="BM208" s="152" t="str">
        <f>_xlfn.IFNA(IF(BL208="IO",100%,IF(AND(INDEX(Producer!$P:$P,MATCH($D208,Producer!$A:$A,0))="Residential Interest Only Part &amp; Part",BK208=75),80%,IF(C208="BuyToLet",100%,IF(BL208="Interest Only",100%,IF(AND(INDEX(Producer!$P:$P,MATCH($D208,Producer!$A:$A,0))="Residential Interest Only Part &amp; Part",BK208=60),100%,""))))),"")</f>
        <v/>
      </c>
      <c r="BN208" s="218" t="str">
        <f>_xlfn.IFNA(IF(VALUE(INDEX(Producer!$H:$H,MATCH($D208,Producer!$A:$A,0)))=0,"",VALUE(INDEX(Producer!$H:$H,MATCH($D208,Producer!$A:$A,0)))),"")</f>
        <v/>
      </c>
      <c r="BO208" s="153"/>
      <c r="BP208" s="153"/>
      <c r="BQ208" s="219" t="str">
        <f t="shared" si="94"/>
        <v/>
      </c>
      <c r="BR208" s="146"/>
      <c r="BS208" s="146"/>
      <c r="BT208" s="146"/>
      <c r="BU208" s="146"/>
      <c r="BV208" s="219" t="str">
        <f t="shared" si="95"/>
        <v/>
      </c>
      <c r="BW208" s="146"/>
      <c r="BX208" s="146"/>
      <c r="BY208" s="146" t="str">
        <f t="shared" si="96"/>
        <v/>
      </c>
      <c r="BZ208" s="146" t="str">
        <f t="shared" si="97"/>
        <v/>
      </c>
      <c r="CA208" s="146" t="str">
        <f t="shared" si="98"/>
        <v/>
      </c>
      <c r="CB208" s="146" t="str">
        <f t="shared" si="99"/>
        <v/>
      </c>
      <c r="CC208" s="146" t="str">
        <f>_xlfn.IFNA(IF(INDEX(Producer!$P:$P,MATCH($D208,Producer!$A:$A,0))="Help to Buy","Only available","No"),"")</f>
        <v/>
      </c>
      <c r="CD208" s="146" t="str">
        <f>_xlfn.IFNA(IF(INDEX(Producer!$P:$P,MATCH($D208,Producer!$A:$A,0))="Shared Ownership","Only available","No"),"")</f>
        <v/>
      </c>
      <c r="CE208" s="146" t="str">
        <f>_xlfn.IFNA(IF(INDEX(Producer!$P:$P,MATCH($D208,Producer!$A:$A,0))="Right to Buy","Only available","No"),"")</f>
        <v/>
      </c>
      <c r="CF208" s="146" t="str">
        <f t="shared" si="100"/>
        <v/>
      </c>
      <c r="CG208" s="146" t="str">
        <f>_xlfn.IFNA(IF(INDEX(Producer!$P:$P,MATCH($D208,Producer!$A:$A,0))="Retirement Interest Only","Only available","No"),"")</f>
        <v/>
      </c>
      <c r="CH208" s="146" t="str">
        <f t="shared" si="101"/>
        <v/>
      </c>
      <c r="CI208" s="146" t="str">
        <f>_xlfn.IFNA(IF(INDEX(Producer!$P:$P,MATCH($D208,Producer!$A:$A,0))="Intermediary Holiday Let","Only available","No"),"")</f>
        <v/>
      </c>
      <c r="CJ208" s="146" t="str">
        <f t="shared" si="102"/>
        <v/>
      </c>
      <c r="CK208" s="146" t="str">
        <f>_xlfn.IFNA(IF(OR(INDEX(Producer!$P:$P,MATCH($D208,Producer!$A:$A,0))="Intermediary Small HMO",INDEX(Producer!$P:$P,MATCH($D208,Producer!$A:$A,0))="Intermediary Large HMO"),"Only available","No"),"")</f>
        <v/>
      </c>
      <c r="CL208" s="146" t="str">
        <f t="shared" si="103"/>
        <v/>
      </c>
      <c r="CM208" s="146" t="str">
        <f t="shared" si="104"/>
        <v/>
      </c>
      <c r="CN208" s="146" t="str">
        <f t="shared" si="105"/>
        <v/>
      </c>
      <c r="CO208" s="146" t="str">
        <f t="shared" si="106"/>
        <v/>
      </c>
      <c r="CP208" s="146" t="str">
        <f t="shared" si="107"/>
        <v/>
      </c>
      <c r="CQ208" s="146" t="str">
        <f t="shared" si="108"/>
        <v/>
      </c>
      <c r="CR208" s="146" t="str">
        <f t="shared" si="109"/>
        <v/>
      </c>
      <c r="CS208" s="146" t="str">
        <f t="shared" si="110"/>
        <v/>
      </c>
      <c r="CT208" s="146" t="str">
        <f t="shared" si="111"/>
        <v/>
      </c>
      <c r="CU208" s="146"/>
    </row>
    <row r="209" spans="1:99" ht="16.399999999999999" customHeight="1" x14ac:dyDescent="0.35">
      <c r="A209" s="145" t="str">
        <f t="shared" si="84"/>
        <v/>
      </c>
      <c r="B209" s="145" t="str">
        <f>_xlfn.IFNA(_xlfn.CONCAT(INDEX(Producer!$P:$P,MATCH($D209,Producer!$A:$A,0))," ",IF(INDEX(Producer!$N:$N,MATCH($D209,Producer!$A:$A,0))="Yes","Green ",""),IF(AND(INDEX(Producer!$L:$L,MATCH($D209,Producer!$A:$A,0))="No",INDEX(Producer!$C:$C,MATCH($D209,Producer!$A:$A,0))="Fixed"),"Flexit ",""),INDEX(Producer!$B:$B,MATCH($D209,Producer!$A:$A,0))," Year ",INDEX(Producer!$C:$C,MATCH($D209,Producer!$A:$A,0))," ",VALUE(INDEX(Producer!$E:$E,MATCH($D209,Producer!$A:$A,0)))*100,"% LTV",IF(INDEX(Producer!$N:$N,MATCH($D209,Producer!$A:$A,0))="Yes"," (EPC A-C)","")," - ",IF(INDEX(Producer!$D:$D,MATCH($D209,Producer!$A:$A,0))="DLY","Daily","Annual")),"")</f>
        <v/>
      </c>
      <c r="C209" s="146" t="str">
        <f>_xlfn.IFNA(INDEX(Producer!$Q:$Q,MATCH($D209,Producer!$A:$A,0)),"")</f>
        <v/>
      </c>
      <c r="D209" s="146" t="str">
        <f>IFERROR(VALUE(MID(Producer!$R$2,IF($D208="",1/0,FIND(_xlfn.CONCAT($D207,$D208),Producer!$R$2)+10),5)),"")</f>
        <v/>
      </c>
      <c r="E209" s="146" t="str">
        <f t="shared" si="85"/>
        <v/>
      </c>
      <c r="F209" s="146"/>
      <c r="G209" s="147" t="str">
        <f>_xlfn.IFNA(VALUE(INDEX(Producer!$F:$F,MATCH($D209,Producer!$A:$A,0)))*100,"")</f>
        <v/>
      </c>
      <c r="H209" s="216" t="str">
        <f>_xlfn.IFNA(IFERROR(DATEVALUE(INDEX(Producer!$M:$M,MATCH($D209,Producer!$A:$A,0))),(INDEX(Producer!$M:$M,MATCH($D209,Producer!$A:$A,0)))),"")</f>
        <v/>
      </c>
      <c r="I209" s="217" t="str">
        <f>_xlfn.IFNA(VALUE(INDEX(Producer!$B:$B,MATCH($D209,Producer!$A:$A,0)))*12,"")</f>
        <v/>
      </c>
      <c r="J209" s="146" t="str">
        <f>_xlfn.IFNA(IF(C209="Residential",IF(VALUE(INDEX(Producer!$B:$B,MATCH($D209,Producer!$A:$A,0)))&lt;5,Constants!$C$10,""),IF(VALUE(INDEX(Producer!$B:$B,MATCH($D209,Producer!$A:$A,0)))&lt;5,Constants!$C$11,"")),"")</f>
        <v/>
      </c>
      <c r="K209" s="216" t="str">
        <f>_xlfn.IFNA(IF(($I209)&lt;60,DATE(YEAR(H209)+(5-VALUE(INDEX(Producer!$B:$B,MATCH($D209,Producer!$A:$A,0)))),MONTH(H209),DAY(H209)),""),"")</f>
        <v/>
      </c>
      <c r="L209" s="153" t="str">
        <f t="shared" si="86"/>
        <v/>
      </c>
      <c r="M209" s="146"/>
      <c r="N209" s="148"/>
      <c r="O209" s="148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6"/>
      <c r="AK209" s="146" t="str">
        <f>IF(D209="","",IF(C209="Residential",Constants!$B$10,Constants!$B$11))</f>
        <v/>
      </c>
      <c r="AL209" s="146" t="str">
        <f t="shared" si="87"/>
        <v/>
      </c>
      <c r="AM209" s="206" t="str">
        <f t="shared" si="88"/>
        <v/>
      </c>
      <c r="AN209" s="146" t="str">
        <f t="shared" si="89"/>
        <v/>
      </c>
      <c r="AO209" s="149" t="str">
        <f t="shared" si="90"/>
        <v/>
      </c>
      <c r="AP209" s="150" t="str">
        <f t="shared" si="91"/>
        <v/>
      </c>
      <c r="AQ209" s="146" t="str">
        <f>IFERROR(_xlfn.IFNA(IF($BA209="No",0,IF(INDEX(Constants!B:B,MATCH(($I209/12),Constants!$A:$A,0))=0,0,INDEX(Constants!B:B,MATCH(($I209/12),Constants!$A:$A,0)))),0),"")</f>
        <v/>
      </c>
      <c r="AR209" s="146" t="str">
        <f>IFERROR(_xlfn.IFNA(IF($BA209="No",0,IF(INDEX(Constants!C:C,MATCH(($I209/12),Constants!$A:$A,0))=0,0,INDEX(Constants!C:C,MATCH(($I209/12),Constants!$A:$A,0)))),0),"")</f>
        <v/>
      </c>
      <c r="AS209" s="146" t="str">
        <f>IFERROR(_xlfn.IFNA(IF($BA209="No",0,IF(INDEX(Constants!D:D,MATCH(($I209/12),Constants!$A:$A,0))=0,0,INDEX(Constants!D:D,MATCH(($I209/12),Constants!$A:$A,0)))),0),"")</f>
        <v/>
      </c>
      <c r="AT209" s="146" t="str">
        <f>IFERROR(_xlfn.IFNA(IF($BA209="No",0,IF(INDEX(Constants!E:E,MATCH(($I209/12),Constants!$A:$A,0))=0,0,INDEX(Constants!E:E,MATCH(($I209/12),Constants!$A:$A,0)))),0),"")</f>
        <v/>
      </c>
      <c r="AU209" s="146" t="str">
        <f>IFERROR(_xlfn.IFNA(IF($BA209="No",0,IF(INDEX(Constants!F:F,MATCH(($I209/12),Constants!$A:$A,0))=0,0,INDEX(Constants!F:F,MATCH(($I209/12),Constants!$A:$A,0)))),0),"")</f>
        <v/>
      </c>
      <c r="AV209" s="146" t="str">
        <f>IFERROR(_xlfn.IFNA(IF($BA209="No",0,IF(INDEX(Constants!G:G,MATCH(($I209/12),Constants!$A:$A,0))=0,0,INDEX(Constants!G:G,MATCH(($I209/12),Constants!$A:$A,0)))),0),"")</f>
        <v/>
      </c>
      <c r="AW209" s="146" t="str">
        <f>IFERROR(_xlfn.IFNA(IF($BA209="No",0,IF(INDEX(Constants!H:H,MATCH(($I209/12),Constants!$A:$A,0))=0,0,INDEX(Constants!H:H,MATCH(($I209/12),Constants!$A:$A,0)))),0),"")</f>
        <v/>
      </c>
      <c r="AX209" s="146" t="str">
        <f>IFERROR(_xlfn.IFNA(IF($BA209="No",0,IF(INDEX(Constants!I:I,MATCH(($I209/12),Constants!$A:$A,0))=0,0,INDEX(Constants!I:I,MATCH(($I209/12),Constants!$A:$A,0)))),0),"")</f>
        <v/>
      </c>
      <c r="AY209" s="146" t="str">
        <f>IFERROR(_xlfn.IFNA(IF($BA209="No",0,IF(INDEX(Constants!J:J,MATCH(($I209/12),Constants!$A:$A,0))=0,0,INDEX(Constants!J:J,MATCH(($I209/12),Constants!$A:$A,0)))),0),"")</f>
        <v/>
      </c>
      <c r="AZ209" s="146" t="str">
        <f>IFERROR(_xlfn.IFNA(IF($BA209="No",0,IF(INDEX(Constants!K:K,MATCH(($I209/12),Constants!$A:$A,0))=0,0,INDEX(Constants!K:K,MATCH(($I209/12),Constants!$A:$A,0)))),0),"")</f>
        <v/>
      </c>
      <c r="BA209" s="147" t="str">
        <f>_xlfn.IFNA(INDEX(Producer!$L:$L,MATCH($D209,Producer!$A:$A,0)),"")</f>
        <v/>
      </c>
      <c r="BB209" s="146" t="str">
        <f>IFERROR(IF(AQ209=0,"",IF(($I209/12)=15,_xlfn.CONCAT(Constants!$N$7,TEXT(DATE(YEAR(H209)-(($I209/12)-3),MONTH(H209),DAY(H209)),"dd/mm/yyyy"),", ",Constants!$P$7,TEXT(DATE(YEAR(H209)-(($I209/12)-8),MONTH(H209),DAY(H209)),"dd/mm/yyyy"),", ",Constants!$T$7,TEXT(DATE(YEAR(H209)-(($I209/12)-11),MONTH(H209),DAY(H209)),"dd/mm/yyyy"),", ",Constants!$V$7,TEXT(DATE(YEAR(H209)-(($I209/12)-13),MONTH(H209),DAY(H209)),"dd/mm/yyyy"),", ",Constants!$W$7,TEXT($H209,"dd/mm/yyyy")),IF(($I209/12)=10,_xlfn.CONCAT(Constants!$N$6,TEXT(DATE(YEAR(H209)-(($I209/12)-2),MONTH(H209),DAY(H209)),"dd/mm/yyyy"),", ",Constants!$P$6,TEXT(DATE(YEAR(H209)-(($I209/12)-6),MONTH(H209),DAY(H209)),"dd/mm/yyyy"),", ",Constants!$T$6,TEXT(DATE(YEAR(H209)-(($I209/12)-8),MONTH(H209),DAY(H209)),"dd/mm/yyyy"),", ",Constants!$V$6,TEXT(DATE(YEAR(H209)-(($I209/12)-9),MONTH(H209),DAY(H209)),"dd/mm/yyyy"),", ",Constants!$W$6,TEXT($H209,"dd/mm/yyyy")),IF(($I209/12)=5,_xlfn.CONCAT(Constants!$N$5,TEXT(DATE(YEAR(H209)-(($I209/12)-1),MONTH(H209),DAY(H209)),"dd/mm/yyyy"),", ",Constants!$O$5,TEXT(DATE(YEAR(H209)-(($I209/12)-2),MONTH(H209),DAY(H209)),"dd/mm/yyyy"),", ",Constants!$P$5,TEXT(DATE(YEAR(H209)-(($I209/12)-3),MONTH(H209),DAY(H209)),"dd/mm/yyyy"),", ",Constants!$Q$5,TEXT(DATE(YEAR(H209)-(($I209/12)-4),MONTH(H209),DAY(H209)),"dd/mm/yyyy"),", ",Constants!$R$5,TEXT($H209,"dd/mm/yyyy")),IF(($I209/12)=3,_xlfn.CONCAT(Constants!$N$4,TEXT(DATE(YEAR(H209)-(($I209/12)-1),MONTH(H209),DAY(H209)),"dd/mm/yyyy"),", ",Constants!$O$4,TEXT(DATE(YEAR(H209)-(($I209/12)-2),MONTH(H209),DAY(H209)),"dd/mm/yyyy"),", ",Constants!$P$4,TEXT($H209,"dd/mm/yyyy")),IF(($I209/12)=2,_xlfn.CONCAT(Constants!$N$3,TEXT(DATE(YEAR(H209)-(($I209/12)-1),MONTH(H209),DAY(H209)),"dd/mm/yyyy"),", ",Constants!$O$3,TEXT($H209,"dd/mm/yyyy")),IF(($I209/12)=1,_xlfn.CONCAT(Constants!$N$2,TEXT($H209,"dd/mm/yyyy")),"Update Constants"))))))),"")</f>
        <v/>
      </c>
      <c r="BC209" s="147" t="str">
        <f>_xlfn.IFNA(VALUE(INDEX(Producer!$K:$K,MATCH($D209,Producer!$A:$A,0))),"")</f>
        <v/>
      </c>
      <c r="BD209" s="147" t="str">
        <f>_xlfn.IFNA(INDEX(Producer!$I:$I,MATCH($D209,Producer!$A:$A,0)),"")</f>
        <v/>
      </c>
      <c r="BE209" s="147" t="str">
        <f t="shared" si="92"/>
        <v/>
      </c>
      <c r="BF209" s="147"/>
      <c r="BG209" s="147"/>
      <c r="BH209" s="151" t="str">
        <f>_xlfn.IFNA(INDEX(Constants!$B:$B,MATCH(BC209,Constants!A:A,0)),"")</f>
        <v/>
      </c>
      <c r="BI209" s="147" t="str">
        <f>IF(LEFT(B209,15)="Limited Company",Constants!$D$16,IFERROR(_xlfn.IFNA(IF(C209="Residential",IF(BK209&lt;75,INDEX(Constants!$B:$B,MATCH(VALUE(60)/100,Constants!$A:$A,0)),INDEX(Constants!$B:$B,MATCH(VALUE(BK209)/100,Constants!$A:$A,0))),IF(BK209&lt;60,INDEX(Constants!$C:$C,MATCH(VALUE(60)/100,Constants!$A:$A,0)),INDEX(Constants!$C:$C,MATCH(VALUE(BK209)/100,Constants!$A:$A,0)))),""),""))</f>
        <v/>
      </c>
      <c r="BJ209" s="147" t="str">
        <f t="shared" si="93"/>
        <v/>
      </c>
      <c r="BK209" s="147" t="str">
        <f>_xlfn.IFNA(VALUE(INDEX(Producer!$E:$E,MATCH($D209,Producer!$A:$A,0)))*100,"")</f>
        <v/>
      </c>
      <c r="BL209" s="146" t="str">
        <f>_xlfn.IFNA(IF(IFERROR(FIND("Part &amp; Part",B209),-10)&gt;0,"PP",IF(OR(LEFT(B209,25)="Residential Interest Only",INDEX(Producer!$P:$P,MATCH($D209,Producer!$A:$A,0))="IO",INDEX(Producer!$P:$P,MATCH($D209,Producer!$A:$A,0))="Retirement Interest Only"),"IO",IF($C209="BuyToLet","CI, IO","CI"))),"")</f>
        <v/>
      </c>
      <c r="BM209" s="152" t="str">
        <f>_xlfn.IFNA(IF(BL209="IO",100%,IF(AND(INDEX(Producer!$P:$P,MATCH($D209,Producer!$A:$A,0))="Residential Interest Only Part &amp; Part",BK209=75),80%,IF(C209="BuyToLet",100%,IF(BL209="Interest Only",100%,IF(AND(INDEX(Producer!$P:$P,MATCH($D209,Producer!$A:$A,0))="Residential Interest Only Part &amp; Part",BK209=60),100%,""))))),"")</f>
        <v/>
      </c>
      <c r="BN209" s="218" t="str">
        <f>_xlfn.IFNA(IF(VALUE(INDEX(Producer!$H:$H,MATCH($D209,Producer!$A:$A,0)))=0,"",VALUE(INDEX(Producer!$H:$H,MATCH($D209,Producer!$A:$A,0)))),"")</f>
        <v/>
      </c>
      <c r="BO209" s="153"/>
      <c r="BP209" s="153"/>
      <c r="BQ209" s="219" t="str">
        <f t="shared" si="94"/>
        <v/>
      </c>
      <c r="BR209" s="146"/>
      <c r="BS209" s="146"/>
      <c r="BT209" s="146"/>
      <c r="BU209" s="146"/>
      <c r="BV209" s="219" t="str">
        <f t="shared" si="95"/>
        <v/>
      </c>
      <c r="BW209" s="146"/>
      <c r="BX209" s="146"/>
      <c r="BY209" s="146" t="str">
        <f t="shared" si="96"/>
        <v/>
      </c>
      <c r="BZ209" s="146" t="str">
        <f t="shared" si="97"/>
        <v/>
      </c>
      <c r="CA209" s="146" t="str">
        <f t="shared" si="98"/>
        <v/>
      </c>
      <c r="CB209" s="146" t="str">
        <f t="shared" si="99"/>
        <v/>
      </c>
      <c r="CC209" s="146" t="str">
        <f>_xlfn.IFNA(IF(INDEX(Producer!$P:$P,MATCH($D209,Producer!$A:$A,0))="Help to Buy","Only available","No"),"")</f>
        <v/>
      </c>
      <c r="CD209" s="146" t="str">
        <f>_xlfn.IFNA(IF(INDEX(Producer!$P:$P,MATCH($D209,Producer!$A:$A,0))="Shared Ownership","Only available","No"),"")</f>
        <v/>
      </c>
      <c r="CE209" s="146" t="str">
        <f>_xlfn.IFNA(IF(INDEX(Producer!$P:$P,MATCH($D209,Producer!$A:$A,0))="Right to Buy","Only available","No"),"")</f>
        <v/>
      </c>
      <c r="CF209" s="146" t="str">
        <f t="shared" si="100"/>
        <v/>
      </c>
      <c r="CG209" s="146" t="str">
        <f>_xlfn.IFNA(IF(INDEX(Producer!$P:$P,MATCH($D209,Producer!$A:$A,0))="Retirement Interest Only","Only available","No"),"")</f>
        <v/>
      </c>
      <c r="CH209" s="146" t="str">
        <f t="shared" si="101"/>
        <v/>
      </c>
      <c r="CI209" s="146" t="str">
        <f>_xlfn.IFNA(IF(INDEX(Producer!$P:$P,MATCH($D209,Producer!$A:$A,0))="Intermediary Holiday Let","Only available","No"),"")</f>
        <v/>
      </c>
      <c r="CJ209" s="146" t="str">
        <f t="shared" si="102"/>
        <v/>
      </c>
      <c r="CK209" s="146" t="str">
        <f>_xlfn.IFNA(IF(OR(INDEX(Producer!$P:$P,MATCH($D209,Producer!$A:$A,0))="Intermediary Small HMO",INDEX(Producer!$P:$P,MATCH($D209,Producer!$A:$A,0))="Intermediary Large HMO"),"Only available","No"),"")</f>
        <v/>
      </c>
      <c r="CL209" s="146" t="str">
        <f t="shared" si="103"/>
        <v/>
      </c>
      <c r="CM209" s="146" t="str">
        <f t="shared" si="104"/>
        <v/>
      </c>
      <c r="CN209" s="146" t="str">
        <f t="shared" si="105"/>
        <v/>
      </c>
      <c r="CO209" s="146" t="str">
        <f t="shared" si="106"/>
        <v/>
      </c>
      <c r="CP209" s="146" t="str">
        <f t="shared" si="107"/>
        <v/>
      </c>
      <c r="CQ209" s="146" t="str">
        <f t="shared" si="108"/>
        <v/>
      </c>
      <c r="CR209" s="146" t="str">
        <f t="shared" si="109"/>
        <v/>
      </c>
      <c r="CS209" s="146" t="str">
        <f t="shared" si="110"/>
        <v/>
      </c>
      <c r="CT209" s="146" t="str">
        <f t="shared" si="111"/>
        <v/>
      </c>
      <c r="CU209" s="146"/>
    </row>
    <row r="210" spans="1:99" ht="16.399999999999999" customHeight="1" x14ac:dyDescent="0.35">
      <c r="A210" s="145" t="str">
        <f t="shared" si="84"/>
        <v/>
      </c>
      <c r="B210" s="145" t="str">
        <f>_xlfn.IFNA(_xlfn.CONCAT(INDEX(Producer!$P:$P,MATCH($D210,Producer!$A:$A,0))," ",IF(INDEX(Producer!$N:$N,MATCH($D210,Producer!$A:$A,0))="Yes","Green ",""),IF(AND(INDEX(Producer!$L:$L,MATCH($D210,Producer!$A:$A,0))="No",INDEX(Producer!$C:$C,MATCH($D210,Producer!$A:$A,0))="Fixed"),"Flexit ",""),INDEX(Producer!$B:$B,MATCH($D210,Producer!$A:$A,0))," Year ",INDEX(Producer!$C:$C,MATCH($D210,Producer!$A:$A,0))," ",VALUE(INDEX(Producer!$E:$E,MATCH($D210,Producer!$A:$A,0)))*100,"% LTV",IF(INDEX(Producer!$N:$N,MATCH($D210,Producer!$A:$A,0))="Yes"," (EPC A-C)","")," - ",IF(INDEX(Producer!$D:$D,MATCH($D210,Producer!$A:$A,0))="DLY","Daily","Annual")),"")</f>
        <v/>
      </c>
      <c r="C210" s="146" t="str">
        <f>_xlfn.IFNA(INDEX(Producer!$Q:$Q,MATCH($D210,Producer!$A:$A,0)),"")</f>
        <v/>
      </c>
      <c r="D210" s="146" t="str">
        <f>IFERROR(VALUE(MID(Producer!$R$2,IF($D209="",1/0,FIND(_xlfn.CONCAT($D208,$D209),Producer!$R$2)+10),5)),"")</f>
        <v/>
      </c>
      <c r="E210" s="146" t="str">
        <f t="shared" si="85"/>
        <v/>
      </c>
      <c r="F210" s="146"/>
      <c r="G210" s="147" t="str">
        <f>_xlfn.IFNA(VALUE(INDEX(Producer!$F:$F,MATCH($D210,Producer!$A:$A,0)))*100,"")</f>
        <v/>
      </c>
      <c r="H210" s="216" t="str">
        <f>_xlfn.IFNA(IFERROR(DATEVALUE(INDEX(Producer!$M:$M,MATCH($D210,Producer!$A:$A,0))),(INDEX(Producer!$M:$M,MATCH($D210,Producer!$A:$A,0)))),"")</f>
        <v/>
      </c>
      <c r="I210" s="217" t="str">
        <f>_xlfn.IFNA(VALUE(INDEX(Producer!$B:$B,MATCH($D210,Producer!$A:$A,0)))*12,"")</f>
        <v/>
      </c>
      <c r="J210" s="146" t="str">
        <f>_xlfn.IFNA(IF(C210="Residential",IF(VALUE(INDEX(Producer!$B:$B,MATCH($D210,Producer!$A:$A,0)))&lt;5,Constants!$C$10,""),IF(VALUE(INDEX(Producer!$B:$B,MATCH($D210,Producer!$A:$A,0)))&lt;5,Constants!$C$11,"")),"")</f>
        <v/>
      </c>
      <c r="K210" s="216" t="str">
        <f>_xlfn.IFNA(IF(($I210)&lt;60,DATE(YEAR(H210)+(5-VALUE(INDEX(Producer!$B:$B,MATCH($D210,Producer!$A:$A,0)))),MONTH(H210),DAY(H210)),""),"")</f>
        <v/>
      </c>
      <c r="L210" s="153" t="str">
        <f t="shared" si="86"/>
        <v/>
      </c>
      <c r="M210" s="146"/>
      <c r="N210" s="148"/>
      <c r="O210" s="148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6"/>
      <c r="AK210" s="146" t="str">
        <f>IF(D210="","",IF(C210="Residential",Constants!$B$10,Constants!$B$11))</f>
        <v/>
      </c>
      <c r="AL210" s="146" t="str">
        <f t="shared" si="87"/>
        <v/>
      </c>
      <c r="AM210" s="206" t="str">
        <f t="shared" si="88"/>
        <v/>
      </c>
      <c r="AN210" s="146" t="str">
        <f t="shared" si="89"/>
        <v/>
      </c>
      <c r="AO210" s="149" t="str">
        <f t="shared" si="90"/>
        <v/>
      </c>
      <c r="AP210" s="150" t="str">
        <f t="shared" si="91"/>
        <v/>
      </c>
      <c r="AQ210" s="146" t="str">
        <f>IFERROR(_xlfn.IFNA(IF($BA210="No",0,IF(INDEX(Constants!B:B,MATCH(($I210/12),Constants!$A:$A,0))=0,0,INDEX(Constants!B:B,MATCH(($I210/12),Constants!$A:$A,0)))),0),"")</f>
        <v/>
      </c>
      <c r="AR210" s="146" t="str">
        <f>IFERROR(_xlfn.IFNA(IF($BA210="No",0,IF(INDEX(Constants!C:C,MATCH(($I210/12),Constants!$A:$A,0))=0,0,INDEX(Constants!C:C,MATCH(($I210/12),Constants!$A:$A,0)))),0),"")</f>
        <v/>
      </c>
      <c r="AS210" s="146" t="str">
        <f>IFERROR(_xlfn.IFNA(IF($BA210="No",0,IF(INDEX(Constants!D:D,MATCH(($I210/12),Constants!$A:$A,0))=0,0,INDEX(Constants!D:D,MATCH(($I210/12),Constants!$A:$A,0)))),0),"")</f>
        <v/>
      </c>
      <c r="AT210" s="146" t="str">
        <f>IFERROR(_xlfn.IFNA(IF($BA210="No",0,IF(INDEX(Constants!E:E,MATCH(($I210/12),Constants!$A:$A,0))=0,0,INDEX(Constants!E:E,MATCH(($I210/12),Constants!$A:$A,0)))),0),"")</f>
        <v/>
      </c>
      <c r="AU210" s="146" t="str">
        <f>IFERROR(_xlfn.IFNA(IF($BA210="No",0,IF(INDEX(Constants!F:F,MATCH(($I210/12),Constants!$A:$A,0))=0,0,INDEX(Constants!F:F,MATCH(($I210/12),Constants!$A:$A,0)))),0),"")</f>
        <v/>
      </c>
      <c r="AV210" s="146" t="str">
        <f>IFERROR(_xlfn.IFNA(IF($BA210="No",0,IF(INDEX(Constants!G:G,MATCH(($I210/12),Constants!$A:$A,0))=0,0,INDEX(Constants!G:G,MATCH(($I210/12),Constants!$A:$A,0)))),0),"")</f>
        <v/>
      </c>
      <c r="AW210" s="146" t="str">
        <f>IFERROR(_xlfn.IFNA(IF($BA210="No",0,IF(INDEX(Constants!H:H,MATCH(($I210/12),Constants!$A:$A,0))=0,0,INDEX(Constants!H:H,MATCH(($I210/12),Constants!$A:$A,0)))),0),"")</f>
        <v/>
      </c>
      <c r="AX210" s="146" t="str">
        <f>IFERROR(_xlfn.IFNA(IF($BA210="No",0,IF(INDEX(Constants!I:I,MATCH(($I210/12),Constants!$A:$A,0))=0,0,INDEX(Constants!I:I,MATCH(($I210/12),Constants!$A:$A,0)))),0),"")</f>
        <v/>
      </c>
      <c r="AY210" s="146" t="str">
        <f>IFERROR(_xlfn.IFNA(IF($BA210="No",0,IF(INDEX(Constants!J:J,MATCH(($I210/12),Constants!$A:$A,0))=0,0,INDEX(Constants!J:J,MATCH(($I210/12),Constants!$A:$A,0)))),0),"")</f>
        <v/>
      </c>
      <c r="AZ210" s="146" t="str">
        <f>IFERROR(_xlfn.IFNA(IF($BA210="No",0,IF(INDEX(Constants!K:K,MATCH(($I210/12),Constants!$A:$A,0))=0,0,INDEX(Constants!K:K,MATCH(($I210/12),Constants!$A:$A,0)))),0),"")</f>
        <v/>
      </c>
      <c r="BA210" s="147" t="str">
        <f>_xlfn.IFNA(INDEX(Producer!$L:$L,MATCH($D210,Producer!$A:$A,0)),"")</f>
        <v/>
      </c>
      <c r="BB210" s="146" t="str">
        <f>IFERROR(IF(AQ210=0,"",IF(($I210/12)=15,_xlfn.CONCAT(Constants!$N$7,TEXT(DATE(YEAR(H210)-(($I210/12)-3),MONTH(H210),DAY(H210)),"dd/mm/yyyy"),", ",Constants!$P$7,TEXT(DATE(YEAR(H210)-(($I210/12)-8),MONTH(H210),DAY(H210)),"dd/mm/yyyy"),", ",Constants!$T$7,TEXT(DATE(YEAR(H210)-(($I210/12)-11),MONTH(H210),DAY(H210)),"dd/mm/yyyy"),", ",Constants!$V$7,TEXT(DATE(YEAR(H210)-(($I210/12)-13),MONTH(H210),DAY(H210)),"dd/mm/yyyy"),", ",Constants!$W$7,TEXT($H210,"dd/mm/yyyy")),IF(($I210/12)=10,_xlfn.CONCAT(Constants!$N$6,TEXT(DATE(YEAR(H210)-(($I210/12)-2),MONTH(H210),DAY(H210)),"dd/mm/yyyy"),", ",Constants!$P$6,TEXT(DATE(YEAR(H210)-(($I210/12)-6),MONTH(H210),DAY(H210)),"dd/mm/yyyy"),", ",Constants!$T$6,TEXT(DATE(YEAR(H210)-(($I210/12)-8),MONTH(H210),DAY(H210)),"dd/mm/yyyy"),", ",Constants!$V$6,TEXT(DATE(YEAR(H210)-(($I210/12)-9),MONTH(H210),DAY(H210)),"dd/mm/yyyy"),", ",Constants!$W$6,TEXT($H210,"dd/mm/yyyy")),IF(($I210/12)=5,_xlfn.CONCAT(Constants!$N$5,TEXT(DATE(YEAR(H210)-(($I210/12)-1),MONTH(H210),DAY(H210)),"dd/mm/yyyy"),", ",Constants!$O$5,TEXT(DATE(YEAR(H210)-(($I210/12)-2),MONTH(H210),DAY(H210)),"dd/mm/yyyy"),", ",Constants!$P$5,TEXT(DATE(YEAR(H210)-(($I210/12)-3),MONTH(H210),DAY(H210)),"dd/mm/yyyy"),", ",Constants!$Q$5,TEXT(DATE(YEAR(H210)-(($I210/12)-4),MONTH(H210),DAY(H210)),"dd/mm/yyyy"),", ",Constants!$R$5,TEXT($H210,"dd/mm/yyyy")),IF(($I210/12)=3,_xlfn.CONCAT(Constants!$N$4,TEXT(DATE(YEAR(H210)-(($I210/12)-1),MONTH(H210),DAY(H210)),"dd/mm/yyyy"),", ",Constants!$O$4,TEXT(DATE(YEAR(H210)-(($I210/12)-2),MONTH(H210),DAY(H210)),"dd/mm/yyyy"),", ",Constants!$P$4,TEXT($H210,"dd/mm/yyyy")),IF(($I210/12)=2,_xlfn.CONCAT(Constants!$N$3,TEXT(DATE(YEAR(H210)-(($I210/12)-1),MONTH(H210),DAY(H210)),"dd/mm/yyyy"),", ",Constants!$O$3,TEXT($H210,"dd/mm/yyyy")),IF(($I210/12)=1,_xlfn.CONCAT(Constants!$N$2,TEXT($H210,"dd/mm/yyyy")),"Update Constants"))))))),"")</f>
        <v/>
      </c>
      <c r="BC210" s="147" t="str">
        <f>_xlfn.IFNA(VALUE(INDEX(Producer!$K:$K,MATCH($D210,Producer!$A:$A,0))),"")</f>
        <v/>
      </c>
      <c r="BD210" s="147" t="str">
        <f>_xlfn.IFNA(INDEX(Producer!$I:$I,MATCH($D210,Producer!$A:$A,0)),"")</f>
        <v/>
      </c>
      <c r="BE210" s="147" t="str">
        <f t="shared" si="92"/>
        <v/>
      </c>
      <c r="BF210" s="147"/>
      <c r="BG210" s="147"/>
      <c r="BH210" s="151" t="str">
        <f>_xlfn.IFNA(INDEX(Constants!$B:$B,MATCH(BC210,Constants!A:A,0)),"")</f>
        <v/>
      </c>
      <c r="BI210" s="147" t="str">
        <f>IF(LEFT(B210,15)="Limited Company",Constants!$D$16,IFERROR(_xlfn.IFNA(IF(C210="Residential",IF(BK210&lt;75,INDEX(Constants!$B:$B,MATCH(VALUE(60)/100,Constants!$A:$A,0)),INDEX(Constants!$B:$B,MATCH(VALUE(BK210)/100,Constants!$A:$A,0))),IF(BK210&lt;60,INDEX(Constants!$C:$C,MATCH(VALUE(60)/100,Constants!$A:$A,0)),INDEX(Constants!$C:$C,MATCH(VALUE(BK210)/100,Constants!$A:$A,0)))),""),""))</f>
        <v/>
      </c>
      <c r="BJ210" s="147" t="str">
        <f t="shared" si="93"/>
        <v/>
      </c>
      <c r="BK210" s="147" t="str">
        <f>_xlfn.IFNA(VALUE(INDEX(Producer!$E:$E,MATCH($D210,Producer!$A:$A,0)))*100,"")</f>
        <v/>
      </c>
      <c r="BL210" s="146" t="str">
        <f>_xlfn.IFNA(IF(IFERROR(FIND("Part &amp; Part",B210),-10)&gt;0,"PP",IF(OR(LEFT(B210,25)="Residential Interest Only",INDEX(Producer!$P:$P,MATCH($D210,Producer!$A:$A,0))="IO",INDEX(Producer!$P:$P,MATCH($D210,Producer!$A:$A,0))="Retirement Interest Only"),"IO",IF($C210="BuyToLet","CI, IO","CI"))),"")</f>
        <v/>
      </c>
      <c r="BM210" s="152" t="str">
        <f>_xlfn.IFNA(IF(BL210="IO",100%,IF(AND(INDEX(Producer!$P:$P,MATCH($D210,Producer!$A:$A,0))="Residential Interest Only Part &amp; Part",BK210=75),80%,IF(C210="BuyToLet",100%,IF(BL210="Interest Only",100%,IF(AND(INDEX(Producer!$P:$P,MATCH($D210,Producer!$A:$A,0))="Residential Interest Only Part &amp; Part",BK210=60),100%,""))))),"")</f>
        <v/>
      </c>
      <c r="BN210" s="218" t="str">
        <f>_xlfn.IFNA(IF(VALUE(INDEX(Producer!$H:$H,MATCH($D210,Producer!$A:$A,0)))=0,"",VALUE(INDEX(Producer!$H:$H,MATCH($D210,Producer!$A:$A,0)))),"")</f>
        <v/>
      </c>
      <c r="BO210" s="153"/>
      <c r="BP210" s="153"/>
      <c r="BQ210" s="219" t="str">
        <f t="shared" si="94"/>
        <v/>
      </c>
      <c r="BR210" s="146"/>
      <c r="BS210" s="146"/>
      <c r="BT210" s="146"/>
      <c r="BU210" s="146"/>
      <c r="BV210" s="219" t="str">
        <f t="shared" si="95"/>
        <v/>
      </c>
      <c r="BW210" s="146"/>
      <c r="BX210" s="146"/>
      <c r="BY210" s="146" t="str">
        <f t="shared" si="96"/>
        <v/>
      </c>
      <c r="BZ210" s="146" t="str">
        <f t="shared" si="97"/>
        <v/>
      </c>
      <c r="CA210" s="146" t="str">
        <f t="shared" si="98"/>
        <v/>
      </c>
      <c r="CB210" s="146" t="str">
        <f t="shared" si="99"/>
        <v/>
      </c>
      <c r="CC210" s="146" t="str">
        <f>_xlfn.IFNA(IF(INDEX(Producer!$P:$P,MATCH($D210,Producer!$A:$A,0))="Help to Buy","Only available","No"),"")</f>
        <v/>
      </c>
      <c r="CD210" s="146" t="str">
        <f>_xlfn.IFNA(IF(INDEX(Producer!$P:$P,MATCH($D210,Producer!$A:$A,0))="Shared Ownership","Only available","No"),"")</f>
        <v/>
      </c>
      <c r="CE210" s="146" t="str">
        <f>_xlfn.IFNA(IF(INDEX(Producer!$P:$P,MATCH($D210,Producer!$A:$A,0))="Right to Buy","Only available","No"),"")</f>
        <v/>
      </c>
      <c r="CF210" s="146" t="str">
        <f t="shared" si="100"/>
        <v/>
      </c>
      <c r="CG210" s="146" t="str">
        <f>_xlfn.IFNA(IF(INDEX(Producer!$P:$P,MATCH($D210,Producer!$A:$A,0))="Retirement Interest Only","Only available","No"),"")</f>
        <v/>
      </c>
      <c r="CH210" s="146" t="str">
        <f t="shared" si="101"/>
        <v/>
      </c>
      <c r="CI210" s="146" t="str">
        <f>_xlfn.IFNA(IF(INDEX(Producer!$P:$P,MATCH($D210,Producer!$A:$A,0))="Intermediary Holiday Let","Only available","No"),"")</f>
        <v/>
      </c>
      <c r="CJ210" s="146" t="str">
        <f t="shared" si="102"/>
        <v/>
      </c>
      <c r="CK210" s="146" t="str">
        <f>_xlfn.IFNA(IF(OR(INDEX(Producer!$P:$P,MATCH($D210,Producer!$A:$A,0))="Intermediary Small HMO",INDEX(Producer!$P:$P,MATCH($D210,Producer!$A:$A,0))="Intermediary Large HMO"),"Only available","No"),"")</f>
        <v/>
      </c>
      <c r="CL210" s="146" t="str">
        <f t="shared" si="103"/>
        <v/>
      </c>
      <c r="CM210" s="146" t="str">
        <f t="shared" si="104"/>
        <v/>
      </c>
      <c r="CN210" s="146" t="str">
        <f t="shared" si="105"/>
        <v/>
      </c>
      <c r="CO210" s="146" t="str">
        <f t="shared" si="106"/>
        <v/>
      </c>
      <c r="CP210" s="146" t="str">
        <f t="shared" si="107"/>
        <v/>
      </c>
      <c r="CQ210" s="146" t="str">
        <f t="shared" si="108"/>
        <v/>
      </c>
      <c r="CR210" s="146" t="str">
        <f t="shared" si="109"/>
        <v/>
      </c>
      <c r="CS210" s="146" t="str">
        <f t="shared" si="110"/>
        <v/>
      </c>
      <c r="CT210" s="146" t="str">
        <f t="shared" si="111"/>
        <v/>
      </c>
      <c r="CU210" s="146"/>
    </row>
    <row r="211" spans="1:99" ht="16.399999999999999" customHeight="1" x14ac:dyDescent="0.35">
      <c r="A211" s="145" t="str">
        <f t="shared" si="84"/>
        <v/>
      </c>
      <c r="B211" s="145" t="str">
        <f>_xlfn.IFNA(_xlfn.CONCAT(INDEX(Producer!$P:$P,MATCH($D211,Producer!$A:$A,0))," ",IF(INDEX(Producer!$N:$N,MATCH($D211,Producer!$A:$A,0))="Yes","Green ",""),IF(AND(INDEX(Producer!$L:$L,MATCH($D211,Producer!$A:$A,0))="No",INDEX(Producer!$C:$C,MATCH($D211,Producer!$A:$A,0))="Fixed"),"Flexit ",""),INDEX(Producer!$B:$B,MATCH($D211,Producer!$A:$A,0))," Year ",INDEX(Producer!$C:$C,MATCH($D211,Producer!$A:$A,0))," ",VALUE(INDEX(Producer!$E:$E,MATCH($D211,Producer!$A:$A,0)))*100,"% LTV",IF(INDEX(Producer!$N:$N,MATCH($D211,Producer!$A:$A,0))="Yes"," (EPC A-C)","")," - ",IF(INDEX(Producer!$D:$D,MATCH($D211,Producer!$A:$A,0))="DLY","Daily","Annual")),"")</f>
        <v/>
      </c>
      <c r="C211" s="146" t="str">
        <f>_xlfn.IFNA(INDEX(Producer!$Q:$Q,MATCH($D211,Producer!$A:$A,0)),"")</f>
        <v/>
      </c>
      <c r="D211" s="146" t="str">
        <f>IFERROR(VALUE(MID(Producer!$R$2,IF($D210="",1/0,FIND(_xlfn.CONCAT($D209,$D210),Producer!$R$2)+10),5)),"")</f>
        <v/>
      </c>
      <c r="E211" s="146" t="str">
        <f t="shared" si="85"/>
        <v/>
      </c>
      <c r="F211" s="146"/>
      <c r="G211" s="147" t="str">
        <f>_xlfn.IFNA(VALUE(INDEX(Producer!$F:$F,MATCH($D211,Producer!$A:$A,0)))*100,"")</f>
        <v/>
      </c>
      <c r="H211" s="216" t="str">
        <f>_xlfn.IFNA(IFERROR(DATEVALUE(INDEX(Producer!$M:$M,MATCH($D211,Producer!$A:$A,0))),(INDEX(Producer!$M:$M,MATCH($D211,Producer!$A:$A,0)))),"")</f>
        <v/>
      </c>
      <c r="I211" s="217" t="str">
        <f>_xlfn.IFNA(VALUE(INDEX(Producer!$B:$B,MATCH($D211,Producer!$A:$A,0)))*12,"")</f>
        <v/>
      </c>
      <c r="J211" s="146" t="str">
        <f>_xlfn.IFNA(IF(C211="Residential",IF(VALUE(INDEX(Producer!$B:$B,MATCH($D211,Producer!$A:$A,0)))&lt;5,Constants!$C$10,""),IF(VALUE(INDEX(Producer!$B:$B,MATCH($D211,Producer!$A:$A,0)))&lt;5,Constants!$C$11,"")),"")</f>
        <v/>
      </c>
      <c r="K211" s="216" t="str">
        <f>_xlfn.IFNA(IF(($I211)&lt;60,DATE(YEAR(H211)+(5-VALUE(INDEX(Producer!$B:$B,MATCH($D211,Producer!$A:$A,0)))),MONTH(H211),DAY(H211)),""),"")</f>
        <v/>
      </c>
      <c r="L211" s="153" t="str">
        <f t="shared" si="86"/>
        <v/>
      </c>
      <c r="M211" s="146"/>
      <c r="N211" s="148"/>
      <c r="O211" s="148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6"/>
      <c r="AK211" s="146" t="str">
        <f>IF(D211="","",IF(C211="Residential",Constants!$B$10,Constants!$B$11))</f>
        <v/>
      </c>
      <c r="AL211" s="146" t="str">
        <f t="shared" si="87"/>
        <v/>
      </c>
      <c r="AM211" s="206" t="str">
        <f t="shared" si="88"/>
        <v/>
      </c>
      <c r="AN211" s="146" t="str">
        <f t="shared" si="89"/>
        <v/>
      </c>
      <c r="AO211" s="149" t="str">
        <f t="shared" si="90"/>
        <v/>
      </c>
      <c r="AP211" s="150" t="str">
        <f t="shared" si="91"/>
        <v/>
      </c>
      <c r="AQ211" s="146" t="str">
        <f>IFERROR(_xlfn.IFNA(IF($BA211="No",0,IF(INDEX(Constants!B:B,MATCH(($I211/12),Constants!$A:$A,0))=0,0,INDEX(Constants!B:B,MATCH(($I211/12),Constants!$A:$A,0)))),0),"")</f>
        <v/>
      </c>
      <c r="AR211" s="146" t="str">
        <f>IFERROR(_xlfn.IFNA(IF($BA211="No",0,IF(INDEX(Constants!C:C,MATCH(($I211/12),Constants!$A:$A,0))=0,0,INDEX(Constants!C:C,MATCH(($I211/12),Constants!$A:$A,0)))),0),"")</f>
        <v/>
      </c>
      <c r="AS211" s="146" t="str">
        <f>IFERROR(_xlfn.IFNA(IF($BA211="No",0,IF(INDEX(Constants!D:D,MATCH(($I211/12),Constants!$A:$A,0))=0,0,INDEX(Constants!D:D,MATCH(($I211/12),Constants!$A:$A,0)))),0),"")</f>
        <v/>
      </c>
      <c r="AT211" s="146" t="str">
        <f>IFERROR(_xlfn.IFNA(IF($BA211="No",0,IF(INDEX(Constants!E:E,MATCH(($I211/12),Constants!$A:$A,0))=0,0,INDEX(Constants!E:E,MATCH(($I211/12),Constants!$A:$A,0)))),0),"")</f>
        <v/>
      </c>
      <c r="AU211" s="146" t="str">
        <f>IFERROR(_xlfn.IFNA(IF($BA211="No",0,IF(INDEX(Constants!F:F,MATCH(($I211/12),Constants!$A:$A,0))=0,0,INDEX(Constants!F:F,MATCH(($I211/12),Constants!$A:$A,0)))),0),"")</f>
        <v/>
      </c>
      <c r="AV211" s="146" t="str">
        <f>IFERROR(_xlfn.IFNA(IF($BA211="No",0,IF(INDEX(Constants!G:G,MATCH(($I211/12),Constants!$A:$A,0))=0,0,INDEX(Constants!G:G,MATCH(($I211/12),Constants!$A:$A,0)))),0),"")</f>
        <v/>
      </c>
      <c r="AW211" s="146" t="str">
        <f>IFERROR(_xlfn.IFNA(IF($BA211="No",0,IF(INDEX(Constants!H:H,MATCH(($I211/12),Constants!$A:$A,0))=0,0,INDEX(Constants!H:H,MATCH(($I211/12),Constants!$A:$A,0)))),0),"")</f>
        <v/>
      </c>
      <c r="AX211" s="146" t="str">
        <f>IFERROR(_xlfn.IFNA(IF($BA211="No",0,IF(INDEX(Constants!I:I,MATCH(($I211/12),Constants!$A:$A,0))=0,0,INDEX(Constants!I:I,MATCH(($I211/12),Constants!$A:$A,0)))),0),"")</f>
        <v/>
      </c>
      <c r="AY211" s="146" t="str">
        <f>IFERROR(_xlfn.IFNA(IF($BA211="No",0,IF(INDEX(Constants!J:J,MATCH(($I211/12),Constants!$A:$A,0))=0,0,INDEX(Constants!J:J,MATCH(($I211/12),Constants!$A:$A,0)))),0),"")</f>
        <v/>
      </c>
      <c r="AZ211" s="146" t="str">
        <f>IFERROR(_xlfn.IFNA(IF($BA211="No",0,IF(INDEX(Constants!K:K,MATCH(($I211/12),Constants!$A:$A,0))=0,0,INDEX(Constants!K:K,MATCH(($I211/12),Constants!$A:$A,0)))),0),"")</f>
        <v/>
      </c>
      <c r="BA211" s="147" t="str">
        <f>_xlfn.IFNA(INDEX(Producer!$L:$L,MATCH($D211,Producer!$A:$A,0)),"")</f>
        <v/>
      </c>
      <c r="BB211" s="146" t="str">
        <f>IFERROR(IF(AQ211=0,"",IF(($I211/12)=15,_xlfn.CONCAT(Constants!$N$7,TEXT(DATE(YEAR(H211)-(($I211/12)-3),MONTH(H211),DAY(H211)),"dd/mm/yyyy"),", ",Constants!$P$7,TEXT(DATE(YEAR(H211)-(($I211/12)-8),MONTH(H211),DAY(H211)),"dd/mm/yyyy"),", ",Constants!$T$7,TEXT(DATE(YEAR(H211)-(($I211/12)-11),MONTH(H211),DAY(H211)),"dd/mm/yyyy"),", ",Constants!$V$7,TEXT(DATE(YEAR(H211)-(($I211/12)-13),MONTH(H211),DAY(H211)),"dd/mm/yyyy"),", ",Constants!$W$7,TEXT($H211,"dd/mm/yyyy")),IF(($I211/12)=10,_xlfn.CONCAT(Constants!$N$6,TEXT(DATE(YEAR(H211)-(($I211/12)-2),MONTH(H211),DAY(H211)),"dd/mm/yyyy"),", ",Constants!$P$6,TEXT(DATE(YEAR(H211)-(($I211/12)-6),MONTH(H211),DAY(H211)),"dd/mm/yyyy"),", ",Constants!$T$6,TEXT(DATE(YEAR(H211)-(($I211/12)-8),MONTH(H211),DAY(H211)),"dd/mm/yyyy"),", ",Constants!$V$6,TEXT(DATE(YEAR(H211)-(($I211/12)-9),MONTH(H211),DAY(H211)),"dd/mm/yyyy"),", ",Constants!$W$6,TEXT($H211,"dd/mm/yyyy")),IF(($I211/12)=5,_xlfn.CONCAT(Constants!$N$5,TEXT(DATE(YEAR(H211)-(($I211/12)-1),MONTH(H211),DAY(H211)),"dd/mm/yyyy"),", ",Constants!$O$5,TEXT(DATE(YEAR(H211)-(($I211/12)-2),MONTH(H211),DAY(H211)),"dd/mm/yyyy"),", ",Constants!$P$5,TEXT(DATE(YEAR(H211)-(($I211/12)-3),MONTH(H211),DAY(H211)),"dd/mm/yyyy"),", ",Constants!$Q$5,TEXT(DATE(YEAR(H211)-(($I211/12)-4),MONTH(H211),DAY(H211)),"dd/mm/yyyy"),", ",Constants!$R$5,TEXT($H211,"dd/mm/yyyy")),IF(($I211/12)=3,_xlfn.CONCAT(Constants!$N$4,TEXT(DATE(YEAR(H211)-(($I211/12)-1),MONTH(H211),DAY(H211)),"dd/mm/yyyy"),", ",Constants!$O$4,TEXT(DATE(YEAR(H211)-(($I211/12)-2),MONTH(H211),DAY(H211)),"dd/mm/yyyy"),", ",Constants!$P$4,TEXT($H211,"dd/mm/yyyy")),IF(($I211/12)=2,_xlfn.CONCAT(Constants!$N$3,TEXT(DATE(YEAR(H211)-(($I211/12)-1),MONTH(H211),DAY(H211)),"dd/mm/yyyy"),", ",Constants!$O$3,TEXT($H211,"dd/mm/yyyy")),IF(($I211/12)=1,_xlfn.CONCAT(Constants!$N$2,TEXT($H211,"dd/mm/yyyy")),"Update Constants"))))))),"")</f>
        <v/>
      </c>
      <c r="BC211" s="147" t="str">
        <f>_xlfn.IFNA(VALUE(INDEX(Producer!$K:$K,MATCH($D211,Producer!$A:$A,0))),"")</f>
        <v/>
      </c>
      <c r="BD211" s="147" t="str">
        <f>_xlfn.IFNA(INDEX(Producer!$I:$I,MATCH($D211,Producer!$A:$A,0)),"")</f>
        <v/>
      </c>
      <c r="BE211" s="147" t="str">
        <f t="shared" si="92"/>
        <v/>
      </c>
      <c r="BF211" s="147"/>
      <c r="BG211" s="147"/>
      <c r="BH211" s="151" t="str">
        <f>_xlfn.IFNA(INDEX(Constants!$B:$B,MATCH(BC211,Constants!A:A,0)),"")</f>
        <v/>
      </c>
      <c r="BI211" s="147" t="str">
        <f>IF(LEFT(B211,15)="Limited Company",Constants!$D$16,IFERROR(_xlfn.IFNA(IF(C211="Residential",IF(BK211&lt;75,INDEX(Constants!$B:$B,MATCH(VALUE(60)/100,Constants!$A:$A,0)),INDEX(Constants!$B:$B,MATCH(VALUE(BK211)/100,Constants!$A:$A,0))),IF(BK211&lt;60,INDEX(Constants!$C:$C,MATCH(VALUE(60)/100,Constants!$A:$A,0)),INDEX(Constants!$C:$C,MATCH(VALUE(BK211)/100,Constants!$A:$A,0)))),""),""))</f>
        <v/>
      </c>
      <c r="BJ211" s="147" t="str">
        <f t="shared" si="93"/>
        <v/>
      </c>
      <c r="BK211" s="147" t="str">
        <f>_xlfn.IFNA(VALUE(INDEX(Producer!$E:$E,MATCH($D211,Producer!$A:$A,0)))*100,"")</f>
        <v/>
      </c>
      <c r="BL211" s="146" t="str">
        <f>_xlfn.IFNA(IF(IFERROR(FIND("Part &amp; Part",B211),-10)&gt;0,"PP",IF(OR(LEFT(B211,25)="Residential Interest Only",INDEX(Producer!$P:$P,MATCH($D211,Producer!$A:$A,0))="IO",INDEX(Producer!$P:$P,MATCH($D211,Producer!$A:$A,0))="Retirement Interest Only"),"IO",IF($C211="BuyToLet","CI, IO","CI"))),"")</f>
        <v/>
      </c>
      <c r="BM211" s="152" t="str">
        <f>_xlfn.IFNA(IF(BL211="IO",100%,IF(AND(INDEX(Producer!$P:$P,MATCH($D211,Producer!$A:$A,0))="Residential Interest Only Part &amp; Part",BK211=75),80%,IF(C211="BuyToLet",100%,IF(BL211="Interest Only",100%,IF(AND(INDEX(Producer!$P:$P,MATCH($D211,Producer!$A:$A,0))="Residential Interest Only Part &amp; Part",BK211=60),100%,""))))),"")</f>
        <v/>
      </c>
      <c r="BN211" s="218" t="str">
        <f>_xlfn.IFNA(IF(VALUE(INDEX(Producer!$H:$H,MATCH($D211,Producer!$A:$A,0)))=0,"",VALUE(INDEX(Producer!$H:$H,MATCH($D211,Producer!$A:$A,0)))),"")</f>
        <v/>
      </c>
      <c r="BO211" s="153"/>
      <c r="BP211" s="153"/>
      <c r="BQ211" s="219" t="str">
        <f t="shared" si="94"/>
        <v/>
      </c>
      <c r="BR211" s="146"/>
      <c r="BS211" s="146"/>
      <c r="BT211" s="146"/>
      <c r="BU211" s="146"/>
      <c r="BV211" s="219" t="str">
        <f t="shared" si="95"/>
        <v/>
      </c>
      <c r="BW211" s="146"/>
      <c r="BX211" s="146"/>
      <c r="BY211" s="146" t="str">
        <f t="shared" si="96"/>
        <v/>
      </c>
      <c r="BZ211" s="146" t="str">
        <f t="shared" si="97"/>
        <v/>
      </c>
      <c r="CA211" s="146" t="str">
        <f t="shared" si="98"/>
        <v/>
      </c>
      <c r="CB211" s="146" t="str">
        <f t="shared" si="99"/>
        <v/>
      </c>
      <c r="CC211" s="146" t="str">
        <f>_xlfn.IFNA(IF(INDEX(Producer!$P:$P,MATCH($D211,Producer!$A:$A,0))="Help to Buy","Only available","No"),"")</f>
        <v/>
      </c>
      <c r="CD211" s="146" t="str">
        <f>_xlfn.IFNA(IF(INDEX(Producer!$P:$P,MATCH($D211,Producer!$A:$A,0))="Shared Ownership","Only available","No"),"")</f>
        <v/>
      </c>
      <c r="CE211" s="146" t="str">
        <f>_xlfn.IFNA(IF(INDEX(Producer!$P:$P,MATCH($D211,Producer!$A:$A,0))="Right to Buy","Only available","No"),"")</f>
        <v/>
      </c>
      <c r="CF211" s="146" t="str">
        <f t="shared" si="100"/>
        <v/>
      </c>
      <c r="CG211" s="146" t="str">
        <f>_xlfn.IFNA(IF(INDEX(Producer!$P:$P,MATCH($D211,Producer!$A:$A,0))="Retirement Interest Only","Only available","No"),"")</f>
        <v/>
      </c>
      <c r="CH211" s="146" t="str">
        <f t="shared" si="101"/>
        <v/>
      </c>
      <c r="CI211" s="146" t="str">
        <f>_xlfn.IFNA(IF(INDEX(Producer!$P:$P,MATCH($D211,Producer!$A:$A,0))="Intermediary Holiday Let","Only available","No"),"")</f>
        <v/>
      </c>
      <c r="CJ211" s="146" t="str">
        <f t="shared" si="102"/>
        <v/>
      </c>
      <c r="CK211" s="146" t="str">
        <f>_xlfn.IFNA(IF(OR(INDEX(Producer!$P:$P,MATCH($D211,Producer!$A:$A,0))="Intermediary Small HMO",INDEX(Producer!$P:$P,MATCH($D211,Producer!$A:$A,0))="Intermediary Large HMO"),"Only available","No"),"")</f>
        <v/>
      </c>
      <c r="CL211" s="146" t="str">
        <f t="shared" si="103"/>
        <v/>
      </c>
      <c r="CM211" s="146" t="str">
        <f t="shared" si="104"/>
        <v/>
      </c>
      <c r="CN211" s="146" t="str">
        <f t="shared" si="105"/>
        <v/>
      </c>
      <c r="CO211" s="146" t="str">
        <f t="shared" si="106"/>
        <v/>
      </c>
      <c r="CP211" s="146" t="str">
        <f t="shared" si="107"/>
        <v/>
      </c>
      <c r="CQ211" s="146" t="str">
        <f t="shared" si="108"/>
        <v/>
      </c>
      <c r="CR211" s="146" t="str">
        <f t="shared" si="109"/>
        <v/>
      </c>
      <c r="CS211" s="146" t="str">
        <f t="shared" si="110"/>
        <v/>
      </c>
      <c r="CT211" s="146" t="str">
        <f t="shared" si="111"/>
        <v/>
      </c>
      <c r="CU211" s="146"/>
    </row>
    <row r="212" spans="1:99" ht="16.399999999999999" customHeight="1" x14ac:dyDescent="0.35">
      <c r="A212" s="145" t="str">
        <f t="shared" si="84"/>
        <v/>
      </c>
      <c r="B212" s="145" t="str">
        <f>_xlfn.IFNA(_xlfn.CONCAT(INDEX(Producer!$P:$P,MATCH($D212,Producer!$A:$A,0))," ",IF(INDEX(Producer!$N:$N,MATCH($D212,Producer!$A:$A,0))="Yes","Green ",""),IF(AND(INDEX(Producer!$L:$L,MATCH($D212,Producer!$A:$A,0))="No",INDEX(Producer!$C:$C,MATCH($D212,Producer!$A:$A,0))="Fixed"),"Flexit ",""),INDEX(Producer!$B:$B,MATCH($D212,Producer!$A:$A,0))," Year ",INDEX(Producer!$C:$C,MATCH($D212,Producer!$A:$A,0))," ",VALUE(INDEX(Producer!$E:$E,MATCH($D212,Producer!$A:$A,0)))*100,"% LTV",IF(INDEX(Producer!$N:$N,MATCH($D212,Producer!$A:$A,0))="Yes"," (EPC A-C)","")," - ",IF(INDEX(Producer!$D:$D,MATCH($D212,Producer!$A:$A,0))="DLY","Daily","Annual")),"")</f>
        <v/>
      </c>
      <c r="C212" s="146" t="str">
        <f>_xlfn.IFNA(INDEX(Producer!$Q:$Q,MATCH($D212,Producer!$A:$A,0)),"")</f>
        <v/>
      </c>
      <c r="D212" s="146" t="str">
        <f>IFERROR(VALUE(MID(Producer!$R$2,IF($D211="",1/0,FIND(_xlfn.CONCAT($D210,$D211),Producer!$R$2)+10),5)),"")</f>
        <v/>
      </c>
      <c r="E212" s="146" t="str">
        <f t="shared" si="85"/>
        <v/>
      </c>
      <c r="F212" s="146"/>
      <c r="G212" s="147" t="str">
        <f>_xlfn.IFNA(VALUE(INDEX(Producer!$F:$F,MATCH($D212,Producer!$A:$A,0)))*100,"")</f>
        <v/>
      </c>
      <c r="H212" s="216" t="str">
        <f>_xlfn.IFNA(IFERROR(DATEVALUE(INDEX(Producer!$M:$M,MATCH($D212,Producer!$A:$A,0))),(INDEX(Producer!$M:$M,MATCH($D212,Producer!$A:$A,0)))),"")</f>
        <v/>
      </c>
      <c r="I212" s="217" t="str">
        <f>_xlfn.IFNA(VALUE(INDEX(Producer!$B:$B,MATCH($D212,Producer!$A:$A,0)))*12,"")</f>
        <v/>
      </c>
      <c r="J212" s="146" t="str">
        <f>_xlfn.IFNA(IF(C212="Residential",IF(VALUE(INDEX(Producer!$B:$B,MATCH($D212,Producer!$A:$A,0)))&lt;5,Constants!$C$10,""),IF(VALUE(INDEX(Producer!$B:$B,MATCH($D212,Producer!$A:$A,0)))&lt;5,Constants!$C$11,"")),"")</f>
        <v/>
      </c>
      <c r="K212" s="216" t="str">
        <f>_xlfn.IFNA(IF(($I212)&lt;60,DATE(YEAR(H212)+(5-VALUE(INDEX(Producer!$B:$B,MATCH($D212,Producer!$A:$A,0)))),MONTH(H212),DAY(H212)),""),"")</f>
        <v/>
      </c>
      <c r="L212" s="153" t="str">
        <f t="shared" si="86"/>
        <v/>
      </c>
      <c r="M212" s="146"/>
      <c r="N212" s="148"/>
      <c r="O212" s="148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6"/>
      <c r="AK212" s="146" t="str">
        <f>IF(D212="","",IF(C212="Residential",Constants!$B$10,Constants!$B$11))</f>
        <v/>
      </c>
      <c r="AL212" s="146" t="str">
        <f t="shared" si="87"/>
        <v/>
      </c>
      <c r="AM212" s="206" t="str">
        <f t="shared" si="88"/>
        <v/>
      </c>
      <c r="AN212" s="146" t="str">
        <f t="shared" si="89"/>
        <v/>
      </c>
      <c r="AO212" s="149" t="str">
        <f t="shared" si="90"/>
        <v/>
      </c>
      <c r="AP212" s="150" t="str">
        <f t="shared" si="91"/>
        <v/>
      </c>
      <c r="AQ212" s="146" t="str">
        <f>IFERROR(_xlfn.IFNA(IF($BA212="No",0,IF(INDEX(Constants!B:B,MATCH(($I212/12),Constants!$A:$A,0))=0,0,INDEX(Constants!B:B,MATCH(($I212/12),Constants!$A:$A,0)))),0),"")</f>
        <v/>
      </c>
      <c r="AR212" s="146" t="str">
        <f>IFERROR(_xlfn.IFNA(IF($BA212="No",0,IF(INDEX(Constants!C:C,MATCH(($I212/12),Constants!$A:$A,0))=0,0,INDEX(Constants!C:C,MATCH(($I212/12),Constants!$A:$A,0)))),0),"")</f>
        <v/>
      </c>
      <c r="AS212" s="146" t="str">
        <f>IFERROR(_xlfn.IFNA(IF($BA212="No",0,IF(INDEX(Constants!D:D,MATCH(($I212/12),Constants!$A:$A,0))=0,0,INDEX(Constants!D:D,MATCH(($I212/12),Constants!$A:$A,0)))),0),"")</f>
        <v/>
      </c>
      <c r="AT212" s="146" t="str">
        <f>IFERROR(_xlfn.IFNA(IF($BA212="No",0,IF(INDEX(Constants!E:E,MATCH(($I212/12),Constants!$A:$A,0))=0,0,INDEX(Constants!E:E,MATCH(($I212/12),Constants!$A:$A,0)))),0),"")</f>
        <v/>
      </c>
      <c r="AU212" s="146" t="str">
        <f>IFERROR(_xlfn.IFNA(IF($BA212="No",0,IF(INDEX(Constants!F:F,MATCH(($I212/12),Constants!$A:$A,0))=0,0,INDEX(Constants!F:F,MATCH(($I212/12),Constants!$A:$A,0)))),0),"")</f>
        <v/>
      </c>
      <c r="AV212" s="146" t="str">
        <f>IFERROR(_xlfn.IFNA(IF($BA212="No",0,IF(INDEX(Constants!G:G,MATCH(($I212/12),Constants!$A:$A,0))=0,0,INDEX(Constants!G:G,MATCH(($I212/12),Constants!$A:$A,0)))),0),"")</f>
        <v/>
      </c>
      <c r="AW212" s="146" t="str">
        <f>IFERROR(_xlfn.IFNA(IF($BA212="No",0,IF(INDEX(Constants!H:H,MATCH(($I212/12),Constants!$A:$A,0))=0,0,INDEX(Constants!H:H,MATCH(($I212/12),Constants!$A:$A,0)))),0),"")</f>
        <v/>
      </c>
      <c r="AX212" s="146" t="str">
        <f>IFERROR(_xlfn.IFNA(IF($BA212="No",0,IF(INDEX(Constants!I:I,MATCH(($I212/12),Constants!$A:$A,0))=0,0,INDEX(Constants!I:I,MATCH(($I212/12),Constants!$A:$A,0)))),0),"")</f>
        <v/>
      </c>
      <c r="AY212" s="146" t="str">
        <f>IFERROR(_xlfn.IFNA(IF($BA212="No",0,IF(INDEX(Constants!J:J,MATCH(($I212/12),Constants!$A:$A,0))=0,0,INDEX(Constants!J:J,MATCH(($I212/12),Constants!$A:$A,0)))),0),"")</f>
        <v/>
      </c>
      <c r="AZ212" s="146" t="str">
        <f>IFERROR(_xlfn.IFNA(IF($BA212="No",0,IF(INDEX(Constants!K:K,MATCH(($I212/12),Constants!$A:$A,0))=0,0,INDEX(Constants!K:K,MATCH(($I212/12),Constants!$A:$A,0)))),0),"")</f>
        <v/>
      </c>
      <c r="BA212" s="147" t="str">
        <f>_xlfn.IFNA(INDEX(Producer!$L:$L,MATCH($D212,Producer!$A:$A,0)),"")</f>
        <v/>
      </c>
      <c r="BB212" s="146" t="str">
        <f>IFERROR(IF(AQ212=0,"",IF(($I212/12)=15,_xlfn.CONCAT(Constants!$N$7,TEXT(DATE(YEAR(H212)-(($I212/12)-3),MONTH(H212),DAY(H212)),"dd/mm/yyyy"),", ",Constants!$P$7,TEXT(DATE(YEAR(H212)-(($I212/12)-8),MONTH(H212),DAY(H212)),"dd/mm/yyyy"),", ",Constants!$T$7,TEXT(DATE(YEAR(H212)-(($I212/12)-11),MONTH(H212),DAY(H212)),"dd/mm/yyyy"),", ",Constants!$V$7,TEXT(DATE(YEAR(H212)-(($I212/12)-13),MONTH(H212),DAY(H212)),"dd/mm/yyyy"),", ",Constants!$W$7,TEXT($H212,"dd/mm/yyyy")),IF(($I212/12)=10,_xlfn.CONCAT(Constants!$N$6,TEXT(DATE(YEAR(H212)-(($I212/12)-2),MONTH(H212),DAY(H212)),"dd/mm/yyyy"),", ",Constants!$P$6,TEXT(DATE(YEAR(H212)-(($I212/12)-6),MONTH(H212),DAY(H212)),"dd/mm/yyyy"),", ",Constants!$T$6,TEXT(DATE(YEAR(H212)-(($I212/12)-8),MONTH(H212),DAY(H212)),"dd/mm/yyyy"),", ",Constants!$V$6,TEXT(DATE(YEAR(H212)-(($I212/12)-9),MONTH(H212),DAY(H212)),"dd/mm/yyyy"),", ",Constants!$W$6,TEXT($H212,"dd/mm/yyyy")),IF(($I212/12)=5,_xlfn.CONCAT(Constants!$N$5,TEXT(DATE(YEAR(H212)-(($I212/12)-1),MONTH(H212),DAY(H212)),"dd/mm/yyyy"),", ",Constants!$O$5,TEXT(DATE(YEAR(H212)-(($I212/12)-2),MONTH(H212),DAY(H212)),"dd/mm/yyyy"),", ",Constants!$P$5,TEXT(DATE(YEAR(H212)-(($I212/12)-3),MONTH(H212),DAY(H212)),"dd/mm/yyyy"),", ",Constants!$Q$5,TEXT(DATE(YEAR(H212)-(($I212/12)-4),MONTH(H212),DAY(H212)),"dd/mm/yyyy"),", ",Constants!$R$5,TEXT($H212,"dd/mm/yyyy")),IF(($I212/12)=3,_xlfn.CONCAT(Constants!$N$4,TEXT(DATE(YEAR(H212)-(($I212/12)-1),MONTH(H212),DAY(H212)),"dd/mm/yyyy"),", ",Constants!$O$4,TEXT(DATE(YEAR(H212)-(($I212/12)-2),MONTH(H212),DAY(H212)),"dd/mm/yyyy"),", ",Constants!$P$4,TEXT($H212,"dd/mm/yyyy")),IF(($I212/12)=2,_xlfn.CONCAT(Constants!$N$3,TEXT(DATE(YEAR(H212)-(($I212/12)-1),MONTH(H212),DAY(H212)),"dd/mm/yyyy"),", ",Constants!$O$3,TEXT($H212,"dd/mm/yyyy")),IF(($I212/12)=1,_xlfn.CONCAT(Constants!$N$2,TEXT($H212,"dd/mm/yyyy")),"Update Constants"))))))),"")</f>
        <v/>
      </c>
      <c r="BC212" s="147" t="str">
        <f>_xlfn.IFNA(VALUE(INDEX(Producer!$K:$K,MATCH($D212,Producer!$A:$A,0))),"")</f>
        <v/>
      </c>
      <c r="BD212" s="147" t="str">
        <f>_xlfn.IFNA(INDEX(Producer!$I:$I,MATCH($D212,Producer!$A:$A,0)),"")</f>
        <v/>
      </c>
      <c r="BE212" s="147" t="str">
        <f t="shared" si="92"/>
        <v/>
      </c>
      <c r="BF212" s="147"/>
      <c r="BG212" s="147"/>
      <c r="BH212" s="151" t="str">
        <f>_xlfn.IFNA(INDEX(Constants!$B:$B,MATCH(BC212,Constants!A:A,0)),"")</f>
        <v/>
      </c>
      <c r="BI212" s="147" t="str">
        <f>IF(LEFT(B212,15)="Limited Company",Constants!$D$16,IFERROR(_xlfn.IFNA(IF(C212="Residential",IF(BK212&lt;75,INDEX(Constants!$B:$B,MATCH(VALUE(60)/100,Constants!$A:$A,0)),INDEX(Constants!$B:$B,MATCH(VALUE(BK212)/100,Constants!$A:$A,0))),IF(BK212&lt;60,INDEX(Constants!$C:$C,MATCH(VALUE(60)/100,Constants!$A:$A,0)),INDEX(Constants!$C:$C,MATCH(VALUE(BK212)/100,Constants!$A:$A,0)))),""),""))</f>
        <v/>
      </c>
      <c r="BJ212" s="147" t="str">
        <f t="shared" si="93"/>
        <v/>
      </c>
      <c r="BK212" s="147" t="str">
        <f>_xlfn.IFNA(VALUE(INDEX(Producer!$E:$E,MATCH($D212,Producer!$A:$A,0)))*100,"")</f>
        <v/>
      </c>
      <c r="BL212" s="146" t="str">
        <f>_xlfn.IFNA(IF(IFERROR(FIND("Part &amp; Part",B212),-10)&gt;0,"PP",IF(OR(LEFT(B212,25)="Residential Interest Only",INDEX(Producer!$P:$P,MATCH($D212,Producer!$A:$A,0))="IO",INDEX(Producer!$P:$P,MATCH($D212,Producer!$A:$A,0))="Retirement Interest Only"),"IO",IF($C212="BuyToLet","CI, IO","CI"))),"")</f>
        <v/>
      </c>
      <c r="BM212" s="152" t="str">
        <f>_xlfn.IFNA(IF(BL212="IO",100%,IF(AND(INDEX(Producer!$P:$P,MATCH($D212,Producer!$A:$A,0))="Residential Interest Only Part &amp; Part",BK212=75),80%,IF(C212="BuyToLet",100%,IF(BL212="Interest Only",100%,IF(AND(INDEX(Producer!$P:$P,MATCH($D212,Producer!$A:$A,0))="Residential Interest Only Part &amp; Part",BK212=60),100%,""))))),"")</f>
        <v/>
      </c>
      <c r="BN212" s="218" t="str">
        <f>_xlfn.IFNA(IF(VALUE(INDEX(Producer!$H:$H,MATCH($D212,Producer!$A:$A,0)))=0,"",VALUE(INDEX(Producer!$H:$H,MATCH($D212,Producer!$A:$A,0)))),"")</f>
        <v/>
      </c>
      <c r="BO212" s="153"/>
      <c r="BP212" s="153"/>
      <c r="BQ212" s="219" t="str">
        <f t="shared" si="94"/>
        <v/>
      </c>
      <c r="BR212" s="146"/>
      <c r="BS212" s="146"/>
      <c r="BT212" s="146"/>
      <c r="BU212" s="146"/>
      <c r="BV212" s="219" t="str">
        <f t="shared" si="95"/>
        <v/>
      </c>
      <c r="BW212" s="146"/>
      <c r="BX212" s="146"/>
      <c r="BY212" s="146" t="str">
        <f t="shared" si="96"/>
        <v/>
      </c>
      <c r="BZ212" s="146" t="str">
        <f t="shared" si="97"/>
        <v/>
      </c>
      <c r="CA212" s="146" t="str">
        <f t="shared" si="98"/>
        <v/>
      </c>
      <c r="CB212" s="146" t="str">
        <f t="shared" si="99"/>
        <v/>
      </c>
      <c r="CC212" s="146" t="str">
        <f>_xlfn.IFNA(IF(INDEX(Producer!$P:$P,MATCH($D212,Producer!$A:$A,0))="Help to Buy","Only available","No"),"")</f>
        <v/>
      </c>
      <c r="CD212" s="146" t="str">
        <f>_xlfn.IFNA(IF(INDEX(Producer!$P:$P,MATCH($D212,Producer!$A:$A,0))="Shared Ownership","Only available","No"),"")</f>
        <v/>
      </c>
      <c r="CE212" s="146" t="str">
        <f>_xlfn.IFNA(IF(INDEX(Producer!$P:$P,MATCH($D212,Producer!$A:$A,0))="Right to Buy","Only available","No"),"")</f>
        <v/>
      </c>
      <c r="CF212" s="146" t="str">
        <f t="shared" si="100"/>
        <v/>
      </c>
      <c r="CG212" s="146" t="str">
        <f>_xlfn.IFNA(IF(INDEX(Producer!$P:$P,MATCH($D212,Producer!$A:$A,0))="Retirement Interest Only","Only available","No"),"")</f>
        <v/>
      </c>
      <c r="CH212" s="146" t="str">
        <f t="shared" si="101"/>
        <v/>
      </c>
      <c r="CI212" s="146" t="str">
        <f>_xlfn.IFNA(IF(INDEX(Producer!$P:$P,MATCH($D212,Producer!$A:$A,0))="Intermediary Holiday Let","Only available","No"),"")</f>
        <v/>
      </c>
      <c r="CJ212" s="146" t="str">
        <f t="shared" si="102"/>
        <v/>
      </c>
      <c r="CK212" s="146" t="str">
        <f>_xlfn.IFNA(IF(OR(INDEX(Producer!$P:$P,MATCH($D212,Producer!$A:$A,0))="Intermediary Small HMO",INDEX(Producer!$P:$P,MATCH($D212,Producer!$A:$A,0))="Intermediary Large HMO"),"Only available","No"),"")</f>
        <v/>
      </c>
      <c r="CL212" s="146" t="str">
        <f t="shared" si="103"/>
        <v/>
      </c>
      <c r="CM212" s="146" t="str">
        <f t="shared" si="104"/>
        <v/>
      </c>
      <c r="CN212" s="146" t="str">
        <f t="shared" si="105"/>
        <v/>
      </c>
      <c r="CO212" s="146" t="str">
        <f t="shared" si="106"/>
        <v/>
      </c>
      <c r="CP212" s="146" t="str">
        <f t="shared" si="107"/>
        <v/>
      </c>
      <c r="CQ212" s="146" t="str">
        <f t="shared" si="108"/>
        <v/>
      </c>
      <c r="CR212" s="146" t="str">
        <f t="shared" si="109"/>
        <v/>
      </c>
      <c r="CS212" s="146" t="str">
        <f t="shared" si="110"/>
        <v/>
      </c>
      <c r="CT212" s="146" t="str">
        <f t="shared" si="111"/>
        <v/>
      </c>
      <c r="CU212" s="146"/>
    </row>
    <row r="213" spans="1:99" ht="16.399999999999999" customHeight="1" x14ac:dyDescent="0.35">
      <c r="A213" s="145" t="str">
        <f t="shared" si="84"/>
        <v/>
      </c>
      <c r="B213" s="145" t="str">
        <f>_xlfn.IFNA(_xlfn.CONCAT(INDEX(Producer!$P:$P,MATCH($D213,Producer!$A:$A,0))," ",IF(INDEX(Producer!$N:$N,MATCH($D213,Producer!$A:$A,0))="Yes","Green ",""),IF(AND(INDEX(Producer!$L:$L,MATCH($D213,Producer!$A:$A,0))="No",INDEX(Producer!$C:$C,MATCH($D213,Producer!$A:$A,0))="Fixed"),"Flexit ",""),INDEX(Producer!$B:$B,MATCH($D213,Producer!$A:$A,0))," Year ",INDEX(Producer!$C:$C,MATCH($D213,Producer!$A:$A,0))," ",VALUE(INDEX(Producer!$E:$E,MATCH($D213,Producer!$A:$A,0)))*100,"% LTV",IF(INDEX(Producer!$N:$N,MATCH($D213,Producer!$A:$A,0))="Yes"," (EPC A-C)","")," - ",IF(INDEX(Producer!$D:$D,MATCH($D213,Producer!$A:$A,0))="DLY","Daily","Annual")),"")</f>
        <v/>
      </c>
      <c r="C213" s="146" t="str">
        <f>_xlfn.IFNA(INDEX(Producer!$Q:$Q,MATCH($D213,Producer!$A:$A,0)),"")</f>
        <v/>
      </c>
      <c r="D213" s="146" t="str">
        <f>IFERROR(VALUE(MID(Producer!$R$2,IF($D212="",1/0,FIND(_xlfn.CONCAT($D211,$D212),Producer!$R$2)+10),5)),"")</f>
        <v/>
      </c>
      <c r="E213" s="146" t="str">
        <f t="shared" si="85"/>
        <v/>
      </c>
      <c r="F213" s="146"/>
      <c r="G213" s="147" t="str">
        <f>_xlfn.IFNA(VALUE(INDEX(Producer!$F:$F,MATCH($D213,Producer!$A:$A,0)))*100,"")</f>
        <v/>
      </c>
      <c r="H213" s="216" t="str">
        <f>_xlfn.IFNA(IFERROR(DATEVALUE(INDEX(Producer!$M:$M,MATCH($D213,Producer!$A:$A,0))),(INDEX(Producer!$M:$M,MATCH($D213,Producer!$A:$A,0)))),"")</f>
        <v/>
      </c>
      <c r="I213" s="217" t="str">
        <f>_xlfn.IFNA(VALUE(INDEX(Producer!$B:$B,MATCH($D213,Producer!$A:$A,0)))*12,"")</f>
        <v/>
      </c>
      <c r="J213" s="146" t="str">
        <f>_xlfn.IFNA(IF(C213="Residential",IF(VALUE(INDEX(Producer!$B:$B,MATCH($D213,Producer!$A:$A,0)))&lt;5,Constants!$C$10,""),IF(VALUE(INDEX(Producer!$B:$B,MATCH($D213,Producer!$A:$A,0)))&lt;5,Constants!$C$11,"")),"")</f>
        <v/>
      </c>
      <c r="K213" s="216" t="str">
        <f>_xlfn.IFNA(IF(($I213)&lt;60,DATE(YEAR(H213)+(5-VALUE(INDEX(Producer!$B:$B,MATCH($D213,Producer!$A:$A,0)))),MONTH(H213),DAY(H213)),""),"")</f>
        <v/>
      </c>
      <c r="L213" s="153" t="str">
        <f t="shared" si="86"/>
        <v/>
      </c>
      <c r="M213" s="146"/>
      <c r="N213" s="148"/>
      <c r="O213" s="148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6"/>
      <c r="AK213" s="146" t="str">
        <f>IF(D213="","",IF(C213="Residential",Constants!$B$10,Constants!$B$11))</f>
        <v/>
      </c>
      <c r="AL213" s="146" t="str">
        <f t="shared" si="87"/>
        <v/>
      </c>
      <c r="AM213" s="206" t="str">
        <f t="shared" si="88"/>
        <v/>
      </c>
      <c r="AN213" s="146" t="str">
        <f t="shared" si="89"/>
        <v/>
      </c>
      <c r="AO213" s="149" t="str">
        <f t="shared" si="90"/>
        <v/>
      </c>
      <c r="AP213" s="150" t="str">
        <f t="shared" si="91"/>
        <v/>
      </c>
      <c r="AQ213" s="146" t="str">
        <f>IFERROR(_xlfn.IFNA(IF($BA213="No",0,IF(INDEX(Constants!B:B,MATCH(($I213/12),Constants!$A:$A,0))=0,0,INDEX(Constants!B:B,MATCH(($I213/12),Constants!$A:$A,0)))),0),"")</f>
        <v/>
      </c>
      <c r="AR213" s="146" t="str">
        <f>IFERROR(_xlfn.IFNA(IF($BA213="No",0,IF(INDEX(Constants!C:C,MATCH(($I213/12),Constants!$A:$A,0))=0,0,INDEX(Constants!C:C,MATCH(($I213/12),Constants!$A:$A,0)))),0),"")</f>
        <v/>
      </c>
      <c r="AS213" s="146" t="str">
        <f>IFERROR(_xlfn.IFNA(IF($BA213="No",0,IF(INDEX(Constants!D:D,MATCH(($I213/12),Constants!$A:$A,0))=0,0,INDEX(Constants!D:D,MATCH(($I213/12),Constants!$A:$A,0)))),0),"")</f>
        <v/>
      </c>
      <c r="AT213" s="146" t="str">
        <f>IFERROR(_xlfn.IFNA(IF($BA213="No",0,IF(INDEX(Constants!E:E,MATCH(($I213/12),Constants!$A:$A,0))=0,0,INDEX(Constants!E:E,MATCH(($I213/12),Constants!$A:$A,0)))),0),"")</f>
        <v/>
      </c>
      <c r="AU213" s="146" t="str">
        <f>IFERROR(_xlfn.IFNA(IF($BA213="No",0,IF(INDEX(Constants!F:F,MATCH(($I213/12),Constants!$A:$A,0))=0,0,INDEX(Constants!F:F,MATCH(($I213/12),Constants!$A:$A,0)))),0),"")</f>
        <v/>
      </c>
      <c r="AV213" s="146" t="str">
        <f>IFERROR(_xlfn.IFNA(IF($BA213="No",0,IF(INDEX(Constants!G:G,MATCH(($I213/12),Constants!$A:$A,0))=0,0,INDEX(Constants!G:G,MATCH(($I213/12),Constants!$A:$A,0)))),0),"")</f>
        <v/>
      </c>
      <c r="AW213" s="146" t="str">
        <f>IFERROR(_xlfn.IFNA(IF($BA213="No",0,IF(INDEX(Constants!H:H,MATCH(($I213/12),Constants!$A:$A,0))=0,0,INDEX(Constants!H:H,MATCH(($I213/12),Constants!$A:$A,0)))),0),"")</f>
        <v/>
      </c>
      <c r="AX213" s="146" t="str">
        <f>IFERROR(_xlfn.IFNA(IF($BA213="No",0,IF(INDEX(Constants!I:I,MATCH(($I213/12),Constants!$A:$A,0))=0,0,INDEX(Constants!I:I,MATCH(($I213/12),Constants!$A:$A,0)))),0),"")</f>
        <v/>
      </c>
      <c r="AY213" s="146" t="str">
        <f>IFERROR(_xlfn.IFNA(IF($BA213="No",0,IF(INDEX(Constants!J:J,MATCH(($I213/12),Constants!$A:$A,0))=0,0,INDEX(Constants!J:J,MATCH(($I213/12),Constants!$A:$A,0)))),0),"")</f>
        <v/>
      </c>
      <c r="AZ213" s="146" t="str">
        <f>IFERROR(_xlfn.IFNA(IF($BA213="No",0,IF(INDEX(Constants!K:K,MATCH(($I213/12),Constants!$A:$A,0))=0,0,INDEX(Constants!K:K,MATCH(($I213/12),Constants!$A:$A,0)))),0),"")</f>
        <v/>
      </c>
      <c r="BA213" s="147" t="str">
        <f>_xlfn.IFNA(INDEX(Producer!$L:$L,MATCH($D213,Producer!$A:$A,0)),"")</f>
        <v/>
      </c>
      <c r="BB213" s="146" t="str">
        <f>IFERROR(IF(AQ213=0,"",IF(($I213/12)=15,_xlfn.CONCAT(Constants!$N$7,TEXT(DATE(YEAR(H213)-(($I213/12)-3),MONTH(H213),DAY(H213)),"dd/mm/yyyy"),", ",Constants!$P$7,TEXT(DATE(YEAR(H213)-(($I213/12)-8),MONTH(H213),DAY(H213)),"dd/mm/yyyy"),", ",Constants!$T$7,TEXT(DATE(YEAR(H213)-(($I213/12)-11),MONTH(H213),DAY(H213)),"dd/mm/yyyy"),", ",Constants!$V$7,TEXT(DATE(YEAR(H213)-(($I213/12)-13),MONTH(H213),DAY(H213)),"dd/mm/yyyy"),", ",Constants!$W$7,TEXT($H213,"dd/mm/yyyy")),IF(($I213/12)=10,_xlfn.CONCAT(Constants!$N$6,TEXT(DATE(YEAR(H213)-(($I213/12)-2),MONTH(H213),DAY(H213)),"dd/mm/yyyy"),", ",Constants!$P$6,TEXT(DATE(YEAR(H213)-(($I213/12)-6),MONTH(H213),DAY(H213)),"dd/mm/yyyy"),", ",Constants!$T$6,TEXT(DATE(YEAR(H213)-(($I213/12)-8),MONTH(H213),DAY(H213)),"dd/mm/yyyy"),", ",Constants!$V$6,TEXT(DATE(YEAR(H213)-(($I213/12)-9),MONTH(H213),DAY(H213)),"dd/mm/yyyy"),", ",Constants!$W$6,TEXT($H213,"dd/mm/yyyy")),IF(($I213/12)=5,_xlfn.CONCAT(Constants!$N$5,TEXT(DATE(YEAR(H213)-(($I213/12)-1),MONTH(H213),DAY(H213)),"dd/mm/yyyy"),", ",Constants!$O$5,TEXT(DATE(YEAR(H213)-(($I213/12)-2),MONTH(H213),DAY(H213)),"dd/mm/yyyy"),", ",Constants!$P$5,TEXT(DATE(YEAR(H213)-(($I213/12)-3),MONTH(H213),DAY(H213)),"dd/mm/yyyy"),", ",Constants!$Q$5,TEXT(DATE(YEAR(H213)-(($I213/12)-4),MONTH(H213),DAY(H213)),"dd/mm/yyyy"),", ",Constants!$R$5,TEXT($H213,"dd/mm/yyyy")),IF(($I213/12)=3,_xlfn.CONCAT(Constants!$N$4,TEXT(DATE(YEAR(H213)-(($I213/12)-1),MONTH(H213),DAY(H213)),"dd/mm/yyyy"),", ",Constants!$O$4,TEXT(DATE(YEAR(H213)-(($I213/12)-2),MONTH(H213),DAY(H213)),"dd/mm/yyyy"),", ",Constants!$P$4,TEXT($H213,"dd/mm/yyyy")),IF(($I213/12)=2,_xlfn.CONCAT(Constants!$N$3,TEXT(DATE(YEAR(H213)-(($I213/12)-1),MONTH(H213),DAY(H213)),"dd/mm/yyyy"),", ",Constants!$O$3,TEXT($H213,"dd/mm/yyyy")),IF(($I213/12)=1,_xlfn.CONCAT(Constants!$N$2,TEXT($H213,"dd/mm/yyyy")),"Update Constants"))))))),"")</f>
        <v/>
      </c>
      <c r="BC213" s="147" t="str">
        <f>_xlfn.IFNA(VALUE(INDEX(Producer!$K:$K,MATCH($D213,Producer!$A:$A,0))),"")</f>
        <v/>
      </c>
      <c r="BD213" s="147" t="str">
        <f>_xlfn.IFNA(INDEX(Producer!$I:$I,MATCH($D213,Producer!$A:$A,0)),"")</f>
        <v/>
      </c>
      <c r="BE213" s="147" t="str">
        <f t="shared" si="92"/>
        <v/>
      </c>
      <c r="BF213" s="147"/>
      <c r="BG213" s="147"/>
      <c r="BH213" s="151" t="str">
        <f>_xlfn.IFNA(INDEX(Constants!$B:$B,MATCH(BC213,Constants!A:A,0)),"")</f>
        <v/>
      </c>
      <c r="BI213" s="147" t="str">
        <f>IF(LEFT(B213,15)="Limited Company",Constants!$D$16,IFERROR(_xlfn.IFNA(IF(C213="Residential",IF(BK213&lt;75,INDEX(Constants!$B:$B,MATCH(VALUE(60)/100,Constants!$A:$A,0)),INDEX(Constants!$B:$B,MATCH(VALUE(BK213)/100,Constants!$A:$A,0))),IF(BK213&lt;60,INDEX(Constants!$C:$C,MATCH(VALUE(60)/100,Constants!$A:$A,0)),INDEX(Constants!$C:$C,MATCH(VALUE(BK213)/100,Constants!$A:$A,0)))),""),""))</f>
        <v/>
      </c>
      <c r="BJ213" s="147" t="str">
        <f t="shared" si="93"/>
        <v/>
      </c>
      <c r="BK213" s="147" t="str">
        <f>_xlfn.IFNA(VALUE(INDEX(Producer!$E:$E,MATCH($D213,Producer!$A:$A,0)))*100,"")</f>
        <v/>
      </c>
      <c r="BL213" s="146" t="str">
        <f>_xlfn.IFNA(IF(IFERROR(FIND("Part &amp; Part",B213),-10)&gt;0,"PP",IF(OR(LEFT(B213,25)="Residential Interest Only",INDEX(Producer!$P:$P,MATCH($D213,Producer!$A:$A,0))="IO",INDEX(Producer!$P:$P,MATCH($D213,Producer!$A:$A,0))="Retirement Interest Only"),"IO",IF($C213="BuyToLet","CI, IO","CI"))),"")</f>
        <v/>
      </c>
      <c r="BM213" s="152" t="str">
        <f>_xlfn.IFNA(IF(BL213="IO",100%,IF(AND(INDEX(Producer!$P:$P,MATCH($D213,Producer!$A:$A,0))="Residential Interest Only Part &amp; Part",BK213=75),80%,IF(C213="BuyToLet",100%,IF(BL213="Interest Only",100%,IF(AND(INDEX(Producer!$P:$P,MATCH($D213,Producer!$A:$A,0))="Residential Interest Only Part &amp; Part",BK213=60),100%,""))))),"")</f>
        <v/>
      </c>
      <c r="BN213" s="218" t="str">
        <f>_xlfn.IFNA(IF(VALUE(INDEX(Producer!$H:$H,MATCH($D213,Producer!$A:$A,0)))=0,"",VALUE(INDEX(Producer!$H:$H,MATCH($D213,Producer!$A:$A,0)))),"")</f>
        <v/>
      </c>
      <c r="BO213" s="153"/>
      <c r="BP213" s="153"/>
      <c r="BQ213" s="219" t="str">
        <f t="shared" si="94"/>
        <v/>
      </c>
      <c r="BR213" s="146"/>
      <c r="BS213" s="146"/>
      <c r="BT213" s="146"/>
      <c r="BU213" s="146"/>
      <c r="BV213" s="219" t="str">
        <f t="shared" si="95"/>
        <v/>
      </c>
      <c r="BW213" s="146"/>
      <c r="BX213" s="146"/>
      <c r="BY213" s="146" t="str">
        <f t="shared" si="96"/>
        <v/>
      </c>
      <c r="BZ213" s="146" t="str">
        <f t="shared" si="97"/>
        <v/>
      </c>
      <c r="CA213" s="146" t="str">
        <f t="shared" si="98"/>
        <v/>
      </c>
      <c r="CB213" s="146" t="str">
        <f t="shared" si="99"/>
        <v/>
      </c>
      <c r="CC213" s="146" t="str">
        <f>_xlfn.IFNA(IF(INDEX(Producer!$P:$P,MATCH($D213,Producer!$A:$A,0))="Help to Buy","Only available","No"),"")</f>
        <v/>
      </c>
      <c r="CD213" s="146" t="str">
        <f>_xlfn.IFNA(IF(INDEX(Producer!$P:$P,MATCH($D213,Producer!$A:$A,0))="Shared Ownership","Only available","No"),"")</f>
        <v/>
      </c>
      <c r="CE213" s="146" t="str">
        <f>_xlfn.IFNA(IF(INDEX(Producer!$P:$P,MATCH($D213,Producer!$A:$A,0))="Right to Buy","Only available","No"),"")</f>
        <v/>
      </c>
      <c r="CF213" s="146" t="str">
        <f t="shared" si="100"/>
        <v/>
      </c>
      <c r="CG213" s="146" t="str">
        <f>_xlfn.IFNA(IF(INDEX(Producer!$P:$P,MATCH($D213,Producer!$A:$A,0))="Retirement Interest Only","Only available","No"),"")</f>
        <v/>
      </c>
      <c r="CH213" s="146" t="str">
        <f t="shared" si="101"/>
        <v/>
      </c>
      <c r="CI213" s="146" t="str">
        <f>_xlfn.IFNA(IF(INDEX(Producer!$P:$P,MATCH($D213,Producer!$A:$A,0))="Intermediary Holiday Let","Only available","No"),"")</f>
        <v/>
      </c>
      <c r="CJ213" s="146" t="str">
        <f t="shared" si="102"/>
        <v/>
      </c>
      <c r="CK213" s="146" t="str">
        <f>_xlfn.IFNA(IF(OR(INDEX(Producer!$P:$P,MATCH($D213,Producer!$A:$A,0))="Intermediary Small HMO",INDEX(Producer!$P:$P,MATCH($D213,Producer!$A:$A,0))="Intermediary Large HMO"),"Only available","No"),"")</f>
        <v/>
      </c>
      <c r="CL213" s="146" t="str">
        <f t="shared" si="103"/>
        <v/>
      </c>
      <c r="CM213" s="146" t="str">
        <f t="shared" si="104"/>
        <v/>
      </c>
      <c r="CN213" s="146" t="str">
        <f t="shared" si="105"/>
        <v/>
      </c>
      <c r="CO213" s="146" t="str">
        <f t="shared" si="106"/>
        <v/>
      </c>
      <c r="CP213" s="146" t="str">
        <f t="shared" si="107"/>
        <v/>
      </c>
      <c r="CQ213" s="146" t="str">
        <f t="shared" si="108"/>
        <v/>
      </c>
      <c r="CR213" s="146" t="str">
        <f t="shared" si="109"/>
        <v/>
      </c>
      <c r="CS213" s="146" t="str">
        <f t="shared" si="110"/>
        <v/>
      </c>
      <c r="CT213" s="146" t="str">
        <f t="shared" si="111"/>
        <v/>
      </c>
      <c r="CU213" s="146"/>
    </row>
    <row r="214" spans="1:99" ht="16.399999999999999" customHeight="1" x14ac:dyDescent="0.35">
      <c r="A214" s="145" t="str">
        <f t="shared" si="84"/>
        <v/>
      </c>
      <c r="B214" s="145" t="str">
        <f>_xlfn.IFNA(_xlfn.CONCAT(INDEX(Producer!$P:$P,MATCH($D214,Producer!$A:$A,0))," ",IF(INDEX(Producer!$N:$N,MATCH($D214,Producer!$A:$A,0))="Yes","Green ",""),IF(AND(INDEX(Producer!$L:$L,MATCH($D214,Producer!$A:$A,0))="No",INDEX(Producer!$C:$C,MATCH($D214,Producer!$A:$A,0))="Fixed"),"Flexit ",""),INDEX(Producer!$B:$B,MATCH($D214,Producer!$A:$A,0))," Year ",INDEX(Producer!$C:$C,MATCH($D214,Producer!$A:$A,0))," ",VALUE(INDEX(Producer!$E:$E,MATCH($D214,Producer!$A:$A,0)))*100,"% LTV",IF(INDEX(Producer!$N:$N,MATCH($D214,Producer!$A:$A,0))="Yes"," (EPC A-C)","")," - ",IF(INDEX(Producer!$D:$D,MATCH($D214,Producer!$A:$A,0))="DLY","Daily","Annual")),"")</f>
        <v/>
      </c>
      <c r="C214" s="146" t="str">
        <f>_xlfn.IFNA(INDEX(Producer!$Q:$Q,MATCH($D214,Producer!$A:$A,0)),"")</f>
        <v/>
      </c>
      <c r="D214" s="146" t="str">
        <f>IFERROR(VALUE(MID(Producer!$R$2,IF($D213="",1/0,FIND(_xlfn.CONCAT($D212,$D213),Producer!$R$2)+10),5)),"")</f>
        <v/>
      </c>
      <c r="E214" s="146" t="str">
        <f t="shared" si="85"/>
        <v/>
      </c>
      <c r="F214" s="146"/>
      <c r="G214" s="147" t="str">
        <f>_xlfn.IFNA(VALUE(INDEX(Producer!$F:$F,MATCH($D214,Producer!$A:$A,0)))*100,"")</f>
        <v/>
      </c>
      <c r="H214" s="216" t="str">
        <f>_xlfn.IFNA(IFERROR(DATEVALUE(INDEX(Producer!$M:$M,MATCH($D214,Producer!$A:$A,0))),(INDEX(Producer!$M:$M,MATCH($D214,Producer!$A:$A,0)))),"")</f>
        <v/>
      </c>
      <c r="I214" s="217" t="str">
        <f>_xlfn.IFNA(VALUE(INDEX(Producer!$B:$B,MATCH($D214,Producer!$A:$A,0)))*12,"")</f>
        <v/>
      </c>
      <c r="J214" s="146" t="str">
        <f>_xlfn.IFNA(IF(C214="Residential",IF(VALUE(INDEX(Producer!$B:$B,MATCH($D214,Producer!$A:$A,0)))&lt;5,Constants!$C$10,""),IF(VALUE(INDEX(Producer!$B:$B,MATCH($D214,Producer!$A:$A,0)))&lt;5,Constants!$C$11,"")),"")</f>
        <v/>
      </c>
      <c r="K214" s="216" t="str">
        <f>_xlfn.IFNA(IF(($I214)&lt;60,DATE(YEAR(H214)+(5-VALUE(INDEX(Producer!$B:$B,MATCH($D214,Producer!$A:$A,0)))),MONTH(H214),DAY(H214)),""),"")</f>
        <v/>
      </c>
      <c r="L214" s="153" t="str">
        <f t="shared" si="86"/>
        <v/>
      </c>
      <c r="M214" s="146"/>
      <c r="N214" s="148"/>
      <c r="O214" s="148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6"/>
      <c r="AK214" s="146" t="str">
        <f>IF(D214="","",IF(C214="Residential",Constants!$B$10,Constants!$B$11))</f>
        <v/>
      </c>
      <c r="AL214" s="146" t="str">
        <f t="shared" si="87"/>
        <v/>
      </c>
      <c r="AM214" s="206" t="str">
        <f t="shared" si="88"/>
        <v/>
      </c>
      <c r="AN214" s="146" t="str">
        <f t="shared" si="89"/>
        <v/>
      </c>
      <c r="AO214" s="149" t="str">
        <f t="shared" si="90"/>
        <v/>
      </c>
      <c r="AP214" s="150" t="str">
        <f t="shared" si="91"/>
        <v/>
      </c>
      <c r="AQ214" s="146" t="str">
        <f>IFERROR(_xlfn.IFNA(IF($BA214="No",0,IF(INDEX(Constants!B:B,MATCH(($I214/12),Constants!$A:$A,0))=0,0,INDEX(Constants!B:B,MATCH(($I214/12),Constants!$A:$A,0)))),0),"")</f>
        <v/>
      </c>
      <c r="AR214" s="146" t="str">
        <f>IFERROR(_xlfn.IFNA(IF($BA214="No",0,IF(INDEX(Constants!C:C,MATCH(($I214/12),Constants!$A:$A,0))=0,0,INDEX(Constants!C:C,MATCH(($I214/12),Constants!$A:$A,0)))),0),"")</f>
        <v/>
      </c>
      <c r="AS214" s="146" t="str">
        <f>IFERROR(_xlfn.IFNA(IF($BA214="No",0,IF(INDEX(Constants!D:D,MATCH(($I214/12),Constants!$A:$A,0))=0,0,INDEX(Constants!D:D,MATCH(($I214/12),Constants!$A:$A,0)))),0),"")</f>
        <v/>
      </c>
      <c r="AT214" s="146" t="str">
        <f>IFERROR(_xlfn.IFNA(IF($BA214="No",0,IF(INDEX(Constants!E:E,MATCH(($I214/12),Constants!$A:$A,0))=0,0,INDEX(Constants!E:E,MATCH(($I214/12),Constants!$A:$A,0)))),0),"")</f>
        <v/>
      </c>
      <c r="AU214" s="146" t="str">
        <f>IFERROR(_xlfn.IFNA(IF($BA214="No",0,IF(INDEX(Constants!F:F,MATCH(($I214/12),Constants!$A:$A,0))=0,0,INDEX(Constants!F:F,MATCH(($I214/12),Constants!$A:$A,0)))),0),"")</f>
        <v/>
      </c>
      <c r="AV214" s="146" t="str">
        <f>IFERROR(_xlfn.IFNA(IF($BA214="No",0,IF(INDEX(Constants!G:G,MATCH(($I214/12),Constants!$A:$A,0))=0,0,INDEX(Constants!G:G,MATCH(($I214/12),Constants!$A:$A,0)))),0),"")</f>
        <v/>
      </c>
      <c r="AW214" s="146" t="str">
        <f>IFERROR(_xlfn.IFNA(IF($BA214="No",0,IF(INDEX(Constants!H:H,MATCH(($I214/12),Constants!$A:$A,0))=0,0,INDEX(Constants!H:H,MATCH(($I214/12),Constants!$A:$A,0)))),0),"")</f>
        <v/>
      </c>
      <c r="AX214" s="146" t="str">
        <f>IFERROR(_xlfn.IFNA(IF($BA214="No",0,IF(INDEX(Constants!I:I,MATCH(($I214/12),Constants!$A:$A,0))=0,0,INDEX(Constants!I:I,MATCH(($I214/12),Constants!$A:$A,0)))),0),"")</f>
        <v/>
      </c>
      <c r="AY214" s="146" t="str">
        <f>IFERROR(_xlfn.IFNA(IF($BA214="No",0,IF(INDEX(Constants!J:J,MATCH(($I214/12),Constants!$A:$A,0))=0,0,INDEX(Constants!J:J,MATCH(($I214/12),Constants!$A:$A,0)))),0),"")</f>
        <v/>
      </c>
      <c r="AZ214" s="146" t="str">
        <f>IFERROR(_xlfn.IFNA(IF($BA214="No",0,IF(INDEX(Constants!K:K,MATCH(($I214/12),Constants!$A:$A,0))=0,0,INDEX(Constants!K:K,MATCH(($I214/12),Constants!$A:$A,0)))),0),"")</f>
        <v/>
      </c>
      <c r="BA214" s="147" t="str">
        <f>_xlfn.IFNA(INDEX(Producer!$L:$L,MATCH($D214,Producer!$A:$A,0)),"")</f>
        <v/>
      </c>
      <c r="BB214" s="146" t="str">
        <f>IFERROR(IF(AQ214=0,"",IF(($I214/12)=15,_xlfn.CONCAT(Constants!$N$7,TEXT(DATE(YEAR(H214)-(($I214/12)-3),MONTH(H214),DAY(H214)),"dd/mm/yyyy"),", ",Constants!$P$7,TEXT(DATE(YEAR(H214)-(($I214/12)-8),MONTH(H214),DAY(H214)),"dd/mm/yyyy"),", ",Constants!$T$7,TEXT(DATE(YEAR(H214)-(($I214/12)-11),MONTH(H214),DAY(H214)),"dd/mm/yyyy"),", ",Constants!$V$7,TEXT(DATE(YEAR(H214)-(($I214/12)-13),MONTH(H214),DAY(H214)),"dd/mm/yyyy"),", ",Constants!$W$7,TEXT($H214,"dd/mm/yyyy")),IF(($I214/12)=10,_xlfn.CONCAT(Constants!$N$6,TEXT(DATE(YEAR(H214)-(($I214/12)-2),MONTH(H214),DAY(H214)),"dd/mm/yyyy"),", ",Constants!$P$6,TEXT(DATE(YEAR(H214)-(($I214/12)-6),MONTH(H214),DAY(H214)),"dd/mm/yyyy"),", ",Constants!$T$6,TEXT(DATE(YEAR(H214)-(($I214/12)-8),MONTH(H214),DAY(H214)),"dd/mm/yyyy"),", ",Constants!$V$6,TEXT(DATE(YEAR(H214)-(($I214/12)-9),MONTH(H214),DAY(H214)),"dd/mm/yyyy"),", ",Constants!$W$6,TEXT($H214,"dd/mm/yyyy")),IF(($I214/12)=5,_xlfn.CONCAT(Constants!$N$5,TEXT(DATE(YEAR(H214)-(($I214/12)-1),MONTH(H214),DAY(H214)),"dd/mm/yyyy"),", ",Constants!$O$5,TEXT(DATE(YEAR(H214)-(($I214/12)-2),MONTH(H214),DAY(H214)),"dd/mm/yyyy"),", ",Constants!$P$5,TEXT(DATE(YEAR(H214)-(($I214/12)-3),MONTH(H214),DAY(H214)),"dd/mm/yyyy"),", ",Constants!$Q$5,TEXT(DATE(YEAR(H214)-(($I214/12)-4),MONTH(H214),DAY(H214)),"dd/mm/yyyy"),", ",Constants!$R$5,TEXT($H214,"dd/mm/yyyy")),IF(($I214/12)=3,_xlfn.CONCAT(Constants!$N$4,TEXT(DATE(YEAR(H214)-(($I214/12)-1),MONTH(H214),DAY(H214)),"dd/mm/yyyy"),", ",Constants!$O$4,TEXT(DATE(YEAR(H214)-(($I214/12)-2),MONTH(H214),DAY(H214)),"dd/mm/yyyy"),", ",Constants!$P$4,TEXT($H214,"dd/mm/yyyy")),IF(($I214/12)=2,_xlfn.CONCAT(Constants!$N$3,TEXT(DATE(YEAR(H214)-(($I214/12)-1),MONTH(H214),DAY(H214)),"dd/mm/yyyy"),", ",Constants!$O$3,TEXT($H214,"dd/mm/yyyy")),IF(($I214/12)=1,_xlfn.CONCAT(Constants!$N$2,TEXT($H214,"dd/mm/yyyy")),"Update Constants"))))))),"")</f>
        <v/>
      </c>
      <c r="BC214" s="147" t="str">
        <f>_xlfn.IFNA(VALUE(INDEX(Producer!$K:$K,MATCH($D214,Producer!$A:$A,0))),"")</f>
        <v/>
      </c>
      <c r="BD214" s="147" t="str">
        <f>_xlfn.IFNA(INDEX(Producer!$I:$I,MATCH($D214,Producer!$A:$A,0)),"")</f>
        <v/>
      </c>
      <c r="BE214" s="147" t="str">
        <f t="shared" si="92"/>
        <v/>
      </c>
      <c r="BF214" s="147"/>
      <c r="BG214" s="147"/>
      <c r="BH214" s="151" t="str">
        <f>_xlfn.IFNA(INDEX(Constants!$B:$B,MATCH(BC214,Constants!A:A,0)),"")</f>
        <v/>
      </c>
      <c r="BI214" s="147" t="str">
        <f>IF(LEFT(B214,15)="Limited Company",Constants!$D$16,IFERROR(_xlfn.IFNA(IF(C214="Residential",IF(BK214&lt;75,INDEX(Constants!$B:$B,MATCH(VALUE(60)/100,Constants!$A:$A,0)),INDEX(Constants!$B:$B,MATCH(VALUE(BK214)/100,Constants!$A:$A,0))),IF(BK214&lt;60,INDEX(Constants!$C:$C,MATCH(VALUE(60)/100,Constants!$A:$A,0)),INDEX(Constants!$C:$C,MATCH(VALUE(BK214)/100,Constants!$A:$A,0)))),""),""))</f>
        <v/>
      </c>
      <c r="BJ214" s="147" t="str">
        <f t="shared" si="93"/>
        <v/>
      </c>
      <c r="BK214" s="147" t="str">
        <f>_xlfn.IFNA(VALUE(INDEX(Producer!$E:$E,MATCH($D214,Producer!$A:$A,0)))*100,"")</f>
        <v/>
      </c>
      <c r="BL214" s="146" t="str">
        <f>_xlfn.IFNA(IF(IFERROR(FIND("Part &amp; Part",B214),-10)&gt;0,"PP",IF(OR(LEFT(B214,25)="Residential Interest Only",INDEX(Producer!$P:$P,MATCH($D214,Producer!$A:$A,0))="IO",INDEX(Producer!$P:$P,MATCH($D214,Producer!$A:$A,0))="Retirement Interest Only"),"IO",IF($C214="BuyToLet","CI, IO","CI"))),"")</f>
        <v/>
      </c>
      <c r="BM214" s="152" t="str">
        <f>_xlfn.IFNA(IF(BL214="IO",100%,IF(AND(INDEX(Producer!$P:$P,MATCH($D214,Producer!$A:$A,0))="Residential Interest Only Part &amp; Part",BK214=75),80%,IF(C214="BuyToLet",100%,IF(BL214="Interest Only",100%,IF(AND(INDEX(Producer!$P:$P,MATCH($D214,Producer!$A:$A,0))="Residential Interest Only Part &amp; Part",BK214=60),100%,""))))),"")</f>
        <v/>
      </c>
      <c r="BN214" s="218" t="str">
        <f>_xlfn.IFNA(IF(VALUE(INDEX(Producer!$H:$H,MATCH($D214,Producer!$A:$A,0)))=0,"",VALUE(INDEX(Producer!$H:$H,MATCH($D214,Producer!$A:$A,0)))),"")</f>
        <v/>
      </c>
      <c r="BO214" s="153"/>
      <c r="BP214" s="153"/>
      <c r="BQ214" s="219" t="str">
        <f t="shared" si="94"/>
        <v/>
      </c>
      <c r="BR214" s="146"/>
      <c r="BS214" s="146"/>
      <c r="BT214" s="146"/>
      <c r="BU214" s="146"/>
      <c r="BV214" s="219" t="str">
        <f t="shared" si="95"/>
        <v/>
      </c>
      <c r="BW214" s="146"/>
      <c r="BX214" s="146"/>
      <c r="BY214" s="146" t="str">
        <f t="shared" si="96"/>
        <v/>
      </c>
      <c r="BZ214" s="146" t="str">
        <f t="shared" si="97"/>
        <v/>
      </c>
      <c r="CA214" s="146" t="str">
        <f t="shared" si="98"/>
        <v/>
      </c>
      <c r="CB214" s="146" t="str">
        <f t="shared" si="99"/>
        <v/>
      </c>
      <c r="CC214" s="146" t="str">
        <f>_xlfn.IFNA(IF(INDEX(Producer!$P:$P,MATCH($D214,Producer!$A:$A,0))="Help to Buy","Only available","No"),"")</f>
        <v/>
      </c>
      <c r="CD214" s="146" t="str">
        <f>_xlfn.IFNA(IF(INDEX(Producer!$P:$P,MATCH($D214,Producer!$A:$A,0))="Shared Ownership","Only available","No"),"")</f>
        <v/>
      </c>
      <c r="CE214" s="146" t="str">
        <f>_xlfn.IFNA(IF(INDEX(Producer!$P:$P,MATCH($D214,Producer!$A:$A,0))="Right to Buy","Only available","No"),"")</f>
        <v/>
      </c>
      <c r="CF214" s="146" t="str">
        <f t="shared" si="100"/>
        <v/>
      </c>
      <c r="CG214" s="146" t="str">
        <f>_xlfn.IFNA(IF(INDEX(Producer!$P:$P,MATCH($D214,Producer!$A:$A,0))="Retirement Interest Only","Only available","No"),"")</f>
        <v/>
      </c>
      <c r="CH214" s="146" t="str">
        <f t="shared" si="101"/>
        <v/>
      </c>
      <c r="CI214" s="146" t="str">
        <f>_xlfn.IFNA(IF(INDEX(Producer!$P:$P,MATCH($D214,Producer!$A:$A,0))="Intermediary Holiday Let","Only available","No"),"")</f>
        <v/>
      </c>
      <c r="CJ214" s="146" t="str">
        <f t="shared" si="102"/>
        <v/>
      </c>
      <c r="CK214" s="146" t="str">
        <f>_xlfn.IFNA(IF(OR(INDEX(Producer!$P:$P,MATCH($D214,Producer!$A:$A,0))="Intermediary Small HMO",INDEX(Producer!$P:$P,MATCH($D214,Producer!$A:$A,0))="Intermediary Large HMO"),"Only available","No"),"")</f>
        <v/>
      </c>
      <c r="CL214" s="146" t="str">
        <f t="shared" si="103"/>
        <v/>
      </c>
      <c r="CM214" s="146" t="str">
        <f t="shared" si="104"/>
        <v/>
      </c>
      <c r="CN214" s="146" t="str">
        <f t="shared" si="105"/>
        <v/>
      </c>
      <c r="CO214" s="146" t="str">
        <f t="shared" si="106"/>
        <v/>
      </c>
      <c r="CP214" s="146" t="str">
        <f t="shared" si="107"/>
        <v/>
      </c>
      <c r="CQ214" s="146" t="str">
        <f t="shared" si="108"/>
        <v/>
      </c>
      <c r="CR214" s="146" t="str">
        <f t="shared" si="109"/>
        <v/>
      </c>
      <c r="CS214" s="146" t="str">
        <f t="shared" si="110"/>
        <v/>
      </c>
      <c r="CT214" s="146" t="str">
        <f t="shared" si="111"/>
        <v/>
      </c>
      <c r="CU214" s="146"/>
    </row>
    <row r="215" spans="1:99" ht="16.399999999999999" customHeight="1" x14ac:dyDescent="0.35">
      <c r="A215" s="145" t="str">
        <f t="shared" si="84"/>
        <v/>
      </c>
      <c r="B215" s="145" t="str">
        <f>_xlfn.IFNA(_xlfn.CONCAT(INDEX(Producer!$P:$P,MATCH($D215,Producer!$A:$A,0))," ",IF(INDEX(Producer!$N:$N,MATCH($D215,Producer!$A:$A,0))="Yes","Green ",""),IF(AND(INDEX(Producer!$L:$L,MATCH($D215,Producer!$A:$A,0))="No",INDEX(Producer!$C:$C,MATCH($D215,Producer!$A:$A,0))="Fixed"),"Flexit ",""),INDEX(Producer!$B:$B,MATCH($D215,Producer!$A:$A,0))," Year ",INDEX(Producer!$C:$C,MATCH($D215,Producer!$A:$A,0))," ",VALUE(INDEX(Producer!$E:$E,MATCH($D215,Producer!$A:$A,0)))*100,"% LTV",IF(INDEX(Producer!$N:$N,MATCH($D215,Producer!$A:$A,0))="Yes"," (EPC A-C)","")," - ",IF(INDEX(Producer!$D:$D,MATCH($D215,Producer!$A:$A,0))="DLY","Daily","Annual")),"")</f>
        <v/>
      </c>
      <c r="C215" s="146" t="str">
        <f>_xlfn.IFNA(INDEX(Producer!$Q:$Q,MATCH($D215,Producer!$A:$A,0)),"")</f>
        <v/>
      </c>
      <c r="D215" s="146" t="str">
        <f>IFERROR(VALUE(MID(Producer!$R$2,IF($D214="",1/0,FIND(_xlfn.CONCAT($D213,$D214),Producer!$R$2)+10),5)),"")</f>
        <v/>
      </c>
      <c r="E215" s="146" t="str">
        <f t="shared" si="85"/>
        <v/>
      </c>
      <c r="F215" s="146"/>
      <c r="G215" s="147" t="str">
        <f>_xlfn.IFNA(VALUE(INDEX(Producer!$F:$F,MATCH($D215,Producer!$A:$A,0)))*100,"")</f>
        <v/>
      </c>
      <c r="H215" s="216" t="str">
        <f>_xlfn.IFNA(IFERROR(DATEVALUE(INDEX(Producer!$M:$M,MATCH($D215,Producer!$A:$A,0))),(INDEX(Producer!$M:$M,MATCH($D215,Producer!$A:$A,0)))),"")</f>
        <v/>
      </c>
      <c r="I215" s="217" t="str">
        <f>_xlfn.IFNA(VALUE(INDEX(Producer!$B:$B,MATCH($D215,Producer!$A:$A,0)))*12,"")</f>
        <v/>
      </c>
      <c r="J215" s="146" t="str">
        <f>_xlfn.IFNA(IF(C215="Residential",IF(VALUE(INDEX(Producer!$B:$B,MATCH($D215,Producer!$A:$A,0)))&lt;5,Constants!$C$10,""),IF(VALUE(INDEX(Producer!$B:$B,MATCH($D215,Producer!$A:$A,0)))&lt;5,Constants!$C$11,"")),"")</f>
        <v/>
      </c>
      <c r="K215" s="216" t="str">
        <f>_xlfn.IFNA(IF(($I215)&lt;60,DATE(YEAR(H215)+(5-VALUE(INDEX(Producer!$B:$B,MATCH($D215,Producer!$A:$A,0)))),MONTH(H215),DAY(H215)),""),"")</f>
        <v/>
      </c>
      <c r="L215" s="153" t="str">
        <f t="shared" si="86"/>
        <v/>
      </c>
      <c r="M215" s="146"/>
      <c r="N215" s="148"/>
      <c r="O215" s="148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  <c r="AC215" s="146"/>
      <c r="AD215" s="146"/>
      <c r="AE215" s="146"/>
      <c r="AF215" s="146"/>
      <c r="AG215" s="146"/>
      <c r="AH215" s="146"/>
      <c r="AI215" s="146"/>
      <c r="AJ215" s="146"/>
      <c r="AK215" s="146" t="str">
        <f>IF(D215="","",IF(C215="Residential",Constants!$B$10,Constants!$B$11))</f>
        <v/>
      </c>
      <c r="AL215" s="146" t="str">
        <f t="shared" si="87"/>
        <v/>
      </c>
      <c r="AM215" s="206" t="str">
        <f t="shared" si="88"/>
        <v/>
      </c>
      <c r="AN215" s="146" t="str">
        <f t="shared" si="89"/>
        <v/>
      </c>
      <c r="AO215" s="149" t="str">
        <f t="shared" si="90"/>
        <v/>
      </c>
      <c r="AP215" s="150" t="str">
        <f t="shared" si="91"/>
        <v/>
      </c>
      <c r="AQ215" s="146" t="str">
        <f>IFERROR(_xlfn.IFNA(IF($BA215="No",0,IF(INDEX(Constants!B:B,MATCH(($I215/12),Constants!$A:$A,0))=0,0,INDEX(Constants!B:B,MATCH(($I215/12),Constants!$A:$A,0)))),0),"")</f>
        <v/>
      </c>
      <c r="AR215" s="146" t="str">
        <f>IFERROR(_xlfn.IFNA(IF($BA215="No",0,IF(INDEX(Constants!C:C,MATCH(($I215/12),Constants!$A:$A,0))=0,0,INDEX(Constants!C:C,MATCH(($I215/12),Constants!$A:$A,0)))),0),"")</f>
        <v/>
      </c>
      <c r="AS215" s="146" t="str">
        <f>IFERROR(_xlfn.IFNA(IF($BA215="No",0,IF(INDEX(Constants!D:D,MATCH(($I215/12),Constants!$A:$A,0))=0,0,INDEX(Constants!D:D,MATCH(($I215/12),Constants!$A:$A,0)))),0),"")</f>
        <v/>
      </c>
      <c r="AT215" s="146" t="str">
        <f>IFERROR(_xlfn.IFNA(IF($BA215="No",0,IF(INDEX(Constants!E:E,MATCH(($I215/12),Constants!$A:$A,0))=0,0,INDEX(Constants!E:E,MATCH(($I215/12),Constants!$A:$A,0)))),0),"")</f>
        <v/>
      </c>
      <c r="AU215" s="146" t="str">
        <f>IFERROR(_xlfn.IFNA(IF($BA215="No",0,IF(INDEX(Constants!F:F,MATCH(($I215/12),Constants!$A:$A,0))=0,0,INDEX(Constants!F:F,MATCH(($I215/12),Constants!$A:$A,0)))),0),"")</f>
        <v/>
      </c>
      <c r="AV215" s="146" t="str">
        <f>IFERROR(_xlfn.IFNA(IF($BA215="No",0,IF(INDEX(Constants!G:G,MATCH(($I215/12),Constants!$A:$A,0))=0,0,INDEX(Constants!G:G,MATCH(($I215/12),Constants!$A:$A,0)))),0),"")</f>
        <v/>
      </c>
      <c r="AW215" s="146" t="str">
        <f>IFERROR(_xlfn.IFNA(IF($BA215="No",0,IF(INDEX(Constants!H:H,MATCH(($I215/12),Constants!$A:$A,0))=0,0,INDEX(Constants!H:H,MATCH(($I215/12),Constants!$A:$A,0)))),0),"")</f>
        <v/>
      </c>
      <c r="AX215" s="146" t="str">
        <f>IFERROR(_xlfn.IFNA(IF($BA215="No",0,IF(INDEX(Constants!I:I,MATCH(($I215/12),Constants!$A:$A,0))=0,0,INDEX(Constants!I:I,MATCH(($I215/12),Constants!$A:$A,0)))),0),"")</f>
        <v/>
      </c>
      <c r="AY215" s="146" t="str">
        <f>IFERROR(_xlfn.IFNA(IF($BA215="No",0,IF(INDEX(Constants!J:J,MATCH(($I215/12),Constants!$A:$A,0))=0,0,INDEX(Constants!J:J,MATCH(($I215/12),Constants!$A:$A,0)))),0),"")</f>
        <v/>
      </c>
      <c r="AZ215" s="146" t="str">
        <f>IFERROR(_xlfn.IFNA(IF($BA215="No",0,IF(INDEX(Constants!K:K,MATCH(($I215/12),Constants!$A:$A,0))=0,0,INDEX(Constants!K:K,MATCH(($I215/12),Constants!$A:$A,0)))),0),"")</f>
        <v/>
      </c>
      <c r="BA215" s="147" t="str">
        <f>_xlfn.IFNA(INDEX(Producer!$L:$L,MATCH($D215,Producer!$A:$A,0)),"")</f>
        <v/>
      </c>
      <c r="BB215" s="146" t="str">
        <f>IFERROR(IF(AQ215=0,"",IF(($I215/12)=15,_xlfn.CONCAT(Constants!$N$7,TEXT(DATE(YEAR(H215)-(($I215/12)-3),MONTH(H215),DAY(H215)),"dd/mm/yyyy"),", ",Constants!$P$7,TEXT(DATE(YEAR(H215)-(($I215/12)-8),MONTH(H215),DAY(H215)),"dd/mm/yyyy"),", ",Constants!$T$7,TEXT(DATE(YEAR(H215)-(($I215/12)-11),MONTH(H215),DAY(H215)),"dd/mm/yyyy"),", ",Constants!$V$7,TEXT(DATE(YEAR(H215)-(($I215/12)-13),MONTH(H215),DAY(H215)),"dd/mm/yyyy"),", ",Constants!$W$7,TEXT($H215,"dd/mm/yyyy")),IF(($I215/12)=10,_xlfn.CONCAT(Constants!$N$6,TEXT(DATE(YEAR(H215)-(($I215/12)-2),MONTH(H215),DAY(H215)),"dd/mm/yyyy"),", ",Constants!$P$6,TEXT(DATE(YEAR(H215)-(($I215/12)-6),MONTH(H215),DAY(H215)),"dd/mm/yyyy"),", ",Constants!$T$6,TEXT(DATE(YEAR(H215)-(($I215/12)-8),MONTH(H215),DAY(H215)),"dd/mm/yyyy"),", ",Constants!$V$6,TEXT(DATE(YEAR(H215)-(($I215/12)-9),MONTH(H215),DAY(H215)),"dd/mm/yyyy"),", ",Constants!$W$6,TEXT($H215,"dd/mm/yyyy")),IF(($I215/12)=5,_xlfn.CONCAT(Constants!$N$5,TEXT(DATE(YEAR(H215)-(($I215/12)-1),MONTH(H215),DAY(H215)),"dd/mm/yyyy"),", ",Constants!$O$5,TEXT(DATE(YEAR(H215)-(($I215/12)-2),MONTH(H215),DAY(H215)),"dd/mm/yyyy"),", ",Constants!$P$5,TEXT(DATE(YEAR(H215)-(($I215/12)-3),MONTH(H215),DAY(H215)),"dd/mm/yyyy"),", ",Constants!$Q$5,TEXT(DATE(YEAR(H215)-(($I215/12)-4),MONTH(H215),DAY(H215)),"dd/mm/yyyy"),", ",Constants!$R$5,TEXT($H215,"dd/mm/yyyy")),IF(($I215/12)=3,_xlfn.CONCAT(Constants!$N$4,TEXT(DATE(YEAR(H215)-(($I215/12)-1),MONTH(H215),DAY(H215)),"dd/mm/yyyy"),", ",Constants!$O$4,TEXT(DATE(YEAR(H215)-(($I215/12)-2),MONTH(H215),DAY(H215)),"dd/mm/yyyy"),", ",Constants!$P$4,TEXT($H215,"dd/mm/yyyy")),IF(($I215/12)=2,_xlfn.CONCAT(Constants!$N$3,TEXT(DATE(YEAR(H215)-(($I215/12)-1),MONTH(H215),DAY(H215)),"dd/mm/yyyy"),", ",Constants!$O$3,TEXT($H215,"dd/mm/yyyy")),IF(($I215/12)=1,_xlfn.CONCAT(Constants!$N$2,TEXT($H215,"dd/mm/yyyy")),"Update Constants"))))))),"")</f>
        <v/>
      </c>
      <c r="BC215" s="147" t="str">
        <f>_xlfn.IFNA(VALUE(INDEX(Producer!$K:$K,MATCH($D215,Producer!$A:$A,0))),"")</f>
        <v/>
      </c>
      <c r="BD215" s="147" t="str">
        <f>_xlfn.IFNA(INDEX(Producer!$I:$I,MATCH($D215,Producer!$A:$A,0)),"")</f>
        <v/>
      </c>
      <c r="BE215" s="147" t="str">
        <f t="shared" si="92"/>
        <v/>
      </c>
      <c r="BF215" s="147"/>
      <c r="BG215" s="147"/>
      <c r="BH215" s="151" t="str">
        <f>_xlfn.IFNA(INDEX(Constants!$B:$B,MATCH(BC215,Constants!A:A,0)),"")</f>
        <v/>
      </c>
      <c r="BI215" s="147" t="str">
        <f>IF(LEFT(B215,15)="Limited Company",Constants!$D$16,IFERROR(_xlfn.IFNA(IF(C215="Residential",IF(BK215&lt;75,INDEX(Constants!$B:$B,MATCH(VALUE(60)/100,Constants!$A:$A,0)),INDEX(Constants!$B:$B,MATCH(VALUE(BK215)/100,Constants!$A:$A,0))),IF(BK215&lt;60,INDEX(Constants!$C:$C,MATCH(VALUE(60)/100,Constants!$A:$A,0)),INDEX(Constants!$C:$C,MATCH(VALUE(BK215)/100,Constants!$A:$A,0)))),""),""))</f>
        <v/>
      </c>
      <c r="BJ215" s="147" t="str">
        <f t="shared" si="93"/>
        <v/>
      </c>
      <c r="BK215" s="147" t="str">
        <f>_xlfn.IFNA(VALUE(INDEX(Producer!$E:$E,MATCH($D215,Producer!$A:$A,0)))*100,"")</f>
        <v/>
      </c>
      <c r="BL215" s="146" t="str">
        <f>_xlfn.IFNA(IF(IFERROR(FIND("Part &amp; Part",B215),-10)&gt;0,"PP",IF(OR(LEFT(B215,25)="Residential Interest Only",INDEX(Producer!$P:$P,MATCH($D215,Producer!$A:$A,0))="IO",INDEX(Producer!$P:$P,MATCH($D215,Producer!$A:$A,0))="Retirement Interest Only"),"IO",IF($C215="BuyToLet","CI, IO","CI"))),"")</f>
        <v/>
      </c>
      <c r="BM215" s="152" t="str">
        <f>_xlfn.IFNA(IF(BL215="IO",100%,IF(AND(INDEX(Producer!$P:$P,MATCH($D215,Producer!$A:$A,0))="Residential Interest Only Part &amp; Part",BK215=75),80%,IF(C215="BuyToLet",100%,IF(BL215="Interest Only",100%,IF(AND(INDEX(Producer!$P:$P,MATCH($D215,Producer!$A:$A,0))="Residential Interest Only Part &amp; Part",BK215=60),100%,""))))),"")</f>
        <v/>
      </c>
      <c r="BN215" s="218" t="str">
        <f>_xlfn.IFNA(IF(VALUE(INDEX(Producer!$H:$H,MATCH($D215,Producer!$A:$A,0)))=0,"",VALUE(INDEX(Producer!$H:$H,MATCH($D215,Producer!$A:$A,0)))),"")</f>
        <v/>
      </c>
      <c r="BO215" s="153"/>
      <c r="BP215" s="153"/>
      <c r="BQ215" s="219" t="str">
        <f t="shared" si="94"/>
        <v/>
      </c>
      <c r="BR215" s="146"/>
      <c r="BS215" s="146"/>
      <c r="BT215" s="146"/>
      <c r="BU215" s="146"/>
      <c r="BV215" s="219" t="str">
        <f t="shared" si="95"/>
        <v/>
      </c>
      <c r="BW215" s="146"/>
      <c r="BX215" s="146"/>
      <c r="BY215" s="146" t="str">
        <f t="shared" si="96"/>
        <v/>
      </c>
      <c r="BZ215" s="146" t="str">
        <f t="shared" si="97"/>
        <v/>
      </c>
      <c r="CA215" s="146" t="str">
        <f t="shared" si="98"/>
        <v/>
      </c>
      <c r="CB215" s="146" t="str">
        <f t="shared" si="99"/>
        <v/>
      </c>
      <c r="CC215" s="146" t="str">
        <f>_xlfn.IFNA(IF(INDEX(Producer!$P:$P,MATCH($D215,Producer!$A:$A,0))="Help to Buy","Only available","No"),"")</f>
        <v/>
      </c>
      <c r="CD215" s="146" t="str">
        <f>_xlfn.IFNA(IF(INDEX(Producer!$P:$P,MATCH($D215,Producer!$A:$A,0))="Shared Ownership","Only available","No"),"")</f>
        <v/>
      </c>
      <c r="CE215" s="146" t="str">
        <f>_xlfn.IFNA(IF(INDEX(Producer!$P:$P,MATCH($D215,Producer!$A:$A,0))="Right to Buy","Only available","No"),"")</f>
        <v/>
      </c>
      <c r="CF215" s="146" t="str">
        <f t="shared" si="100"/>
        <v/>
      </c>
      <c r="CG215" s="146" t="str">
        <f>_xlfn.IFNA(IF(INDEX(Producer!$P:$P,MATCH($D215,Producer!$A:$A,0))="Retirement Interest Only","Only available","No"),"")</f>
        <v/>
      </c>
      <c r="CH215" s="146" t="str">
        <f t="shared" si="101"/>
        <v/>
      </c>
      <c r="CI215" s="146" t="str">
        <f>_xlfn.IFNA(IF(INDEX(Producer!$P:$P,MATCH($D215,Producer!$A:$A,0))="Intermediary Holiday Let","Only available","No"),"")</f>
        <v/>
      </c>
      <c r="CJ215" s="146" t="str">
        <f t="shared" si="102"/>
        <v/>
      </c>
      <c r="CK215" s="146" t="str">
        <f>_xlfn.IFNA(IF(OR(INDEX(Producer!$P:$P,MATCH($D215,Producer!$A:$A,0))="Intermediary Small HMO",INDEX(Producer!$P:$P,MATCH($D215,Producer!$A:$A,0))="Intermediary Large HMO"),"Only available","No"),"")</f>
        <v/>
      </c>
      <c r="CL215" s="146" t="str">
        <f t="shared" si="103"/>
        <v/>
      </c>
      <c r="CM215" s="146" t="str">
        <f t="shared" si="104"/>
        <v/>
      </c>
      <c r="CN215" s="146" t="str">
        <f t="shared" si="105"/>
        <v/>
      </c>
      <c r="CO215" s="146" t="str">
        <f t="shared" si="106"/>
        <v/>
      </c>
      <c r="CP215" s="146" t="str">
        <f t="shared" si="107"/>
        <v/>
      </c>
      <c r="CQ215" s="146" t="str">
        <f t="shared" si="108"/>
        <v/>
      </c>
      <c r="CR215" s="146" t="str">
        <f t="shared" si="109"/>
        <v/>
      </c>
      <c r="CS215" s="146" t="str">
        <f t="shared" si="110"/>
        <v/>
      </c>
      <c r="CT215" s="146" t="str">
        <f t="shared" si="111"/>
        <v/>
      </c>
      <c r="CU215" s="146"/>
    </row>
    <row r="216" spans="1:99" ht="16.399999999999999" customHeight="1" x14ac:dyDescent="0.35">
      <c r="A216" s="145" t="str">
        <f t="shared" si="84"/>
        <v/>
      </c>
      <c r="B216" s="145" t="str">
        <f>_xlfn.IFNA(_xlfn.CONCAT(INDEX(Producer!$P:$P,MATCH($D216,Producer!$A:$A,0))," ",IF(INDEX(Producer!$N:$N,MATCH($D216,Producer!$A:$A,0))="Yes","Green ",""),IF(AND(INDEX(Producer!$L:$L,MATCH($D216,Producer!$A:$A,0))="No",INDEX(Producer!$C:$C,MATCH($D216,Producer!$A:$A,0))="Fixed"),"Flexit ",""),INDEX(Producer!$B:$B,MATCH($D216,Producer!$A:$A,0))," Year ",INDEX(Producer!$C:$C,MATCH($D216,Producer!$A:$A,0))," ",VALUE(INDEX(Producer!$E:$E,MATCH($D216,Producer!$A:$A,0)))*100,"% LTV",IF(INDEX(Producer!$N:$N,MATCH($D216,Producer!$A:$A,0))="Yes"," (EPC A-C)","")," - ",IF(INDEX(Producer!$D:$D,MATCH($D216,Producer!$A:$A,0))="DLY","Daily","Annual")),"")</f>
        <v/>
      </c>
      <c r="C216" s="146" t="str">
        <f>_xlfn.IFNA(INDEX(Producer!$Q:$Q,MATCH($D216,Producer!$A:$A,0)),"")</f>
        <v/>
      </c>
      <c r="D216" s="146" t="str">
        <f>IFERROR(VALUE(MID(Producer!$R$2,IF($D215="",1/0,FIND(_xlfn.CONCAT($D214,$D215),Producer!$R$2)+10),5)),"")</f>
        <v/>
      </c>
      <c r="E216" s="146" t="str">
        <f t="shared" si="85"/>
        <v/>
      </c>
      <c r="F216" s="146"/>
      <c r="G216" s="147" t="str">
        <f>_xlfn.IFNA(VALUE(INDEX(Producer!$F:$F,MATCH($D216,Producer!$A:$A,0)))*100,"")</f>
        <v/>
      </c>
      <c r="H216" s="216" t="str">
        <f>_xlfn.IFNA(IFERROR(DATEVALUE(INDEX(Producer!$M:$M,MATCH($D216,Producer!$A:$A,0))),(INDEX(Producer!$M:$M,MATCH($D216,Producer!$A:$A,0)))),"")</f>
        <v/>
      </c>
      <c r="I216" s="217" t="str">
        <f>_xlfn.IFNA(VALUE(INDEX(Producer!$B:$B,MATCH($D216,Producer!$A:$A,0)))*12,"")</f>
        <v/>
      </c>
      <c r="J216" s="146" t="str">
        <f>_xlfn.IFNA(IF(C216="Residential",IF(VALUE(INDEX(Producer!$B:$B,MATCH($D216,Producer!$A:$A,0)))&lt;5,Constants!$C$10,""),IF(VALUE(INDEX(Producer!$B:$B,MATCH($D216,Producer!$A:$A,0)))&lt;5,Constants!$C$11,"")),"")</f>
        <v/>
      </c>
      <c r="K216" s="216" t="str">
        <f>_xlfn.IFNA(IF(($I216)&lt;60,DATE(YEAR(H216)+(5-VALUE(INDEX(Producer!$B:$B,MATCH($D216,Producer!$A:$A,0)))),MONTH(H216),DAY(H216)),""),"")</f>
        <v/>
      </c>
      <c r="L216" s="153" t="str">
        <f t="shared" si="86"/>
        <v/>
      </c>
      <c r="M216" s="146"/>
      <c r="N216" s="148"/>
      <c r="O216" s="148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  <c r="AC216" s="146"/>
      <c r="AD216" s="146"/>
      <c r="AE216" s="146"/>
      <c r="AF216" s="146"/>
      <c r="AG216" s="146"/>
      <c r="AH216" s="146"/>
      <c r="AI216" s="146"/>
      <c r="AJ216" s="146"/>
      <c r="AK216" s="146" t="str">
        <f>IF(D216="","",IF(C216="Residential",Constants!$B$10,Constants!$B$11))</f>
        <v/>
      </c>
      <c r="AL216" s="146" t="str">
        <f t="shared" si="87"/>
        <v/>
      </c>
      <c r="AM216" s="206" t="str">
        <f t="shared" si="88"/>
        <v/>
      </c>
      <c r="AN216" s="146" t="str">
        <f t="shared" si="89"/>
        <v/>
      </c>
      <c r="AO216" s="149" t="str">
        <f t="shared" si="90"/>
        <v/>
      </c>
      <c r="AP216" s="150" t="str">
        <f t="shared" si="91"/>
        <v/>
      </c>
      <c r="AQ216" s="146" t="str">
        <f>IFERROR(_xlfn.IFNA(IF($BA216="No",0,IF(INDEX(Constants!B:B,MATCH(($I216/12),Constants!$A:$A,0))=0,0,INDEX(Constants!B:B,MATCH(($I216/12),Constants!$A:$A,0)))),0),"")</f>
        <v/>
      </c>
      <c r="AR216" s="146" t="str">
        <f>IFERROR(_xlfn.IFNA(IF($BA216="No",0,IF(INDEX(Constants!C:C,MATCH(($I216/12),Constants!$A:$A,0))=0,0,INDEX(Constants!C:C,MATCH(($I216/12),Constants!$A:$A,0)))),0),"")</f>
        <v/>
      </c>
      <c r="AS216" s="146" t="str">
        <f>IFERROR(_xlfn.IFNA(IF($BA216="No",0,IF(INDEX(Constants!D:D,MATCH(($I216/12),Constants!$A:$A,0))=0,0,INDEX(Constants!D:D,MATCH(($I216/12),Constants!$A:$A,0)))),0),"")</f>
        <v/>
      </c>
      <c r="AT216" s="146" t="str">
        <f>IFERROR(_xlfn.IFNA(IF($BA216="No",0,IF(INDEX(Constants!E:E,MATCH(($I216/12),Constants!$A:$A,0))=0,0,INDEX(Constants!E:E,MATCH(($I216/12),Constants!$A:$A,0)))),0),"")</f>
        <v/>
      </c>
      <c r="AU216" s="146" t="str">
        <f>IFERROR(_xlfn.IFNA(IF($BA216="No",0,IF(INDEX(Constants!F:F,MATCH(($I216/12),Constants!$A:$A,0))=0,0,INDEX(Constants!F:F,MATCH(($I216/12),Constants!$A:$A,0)))),0),"")</f>
        <v/>
      </c>
      <c r="AV216" s="146" t="str">
        <f>IFERROR(_xlfn.IFNA(IF($BA216="No",0,IF(INDEX(Constants!G:G,MATCH(($I216/12),Constants!$A:$A,0))=0,0,INDEX(Constants!G:G,MATCH(($I216/12),Constants!$A:$A,0)))),0),"")</f>
        <v/>
      </c>
      <c r="AW216" s="146" t="str">
        <f>IFERROR(_xlfn.IFNA(IF($BA216="No",0,IF(INDEX(Constants!H:H,MATCH(($I216/12),Constants!$A:$A,0))=0,0,INDEX(Constants!H:H,MATCH(($I216/12),Constants!$A:$A,0)))),0),"")</f>
        <v/>
      </c>
      <c r="AX216" s="146" t="str">
        <f>IFERROR(_xlfn.IFNA(IF($BA216="No",0,IF(INDEX(Constants!I:I,MATCH(($I216/12),Constants!$A:$A,0))=0,0,INDEX(Constants!I:I,MATCH(($I216/12),Constants!$A:$A,0)))),0),"")</f>
        <v/>
      </c>
      <c r="AY216" s="146" t="str">
        <f>IFERROR(_xlfn.IFNA(IF($BA216="No",0,IF(INDEX(Constants!J:J,MATCH(($I216/12),Constants!$A:$A,0))=0,0,INDEX(Constants!J:J,MATCH(($I216/12),Constants!$A:$A,0)))),0),"")</f>
        <v/>
      </c>
      <c r="AZ216" s="146" t="str">
        <f>IFERROR(_xlfn.IFNA(IF($BA216="No",0,IF(INDEX(Constants!K:K,MATCH(($I216/12),Constants!$A:$A,0))=0,0,INDEX(Constants!K:K,MATCH(($I216/12),Constants!$A:$A,0)))),0),"")</f>
        <v/>
      </c>
      <c r="BA216" s="147" t="str">
        <f>_xlfn.IFNA(INDEX(Producer!$L:$L,MATCH($D216,Producer!$A:$A,0)),"")</f>
        <v/>
      </c>
      <c r="BB216" s="146" t="str">
        <f>IFERROR(IF(AQ216=0,"",IF(($I216/12)=15,_xlfn.CONCAT(Constants!$N$7,TEXT(DATE(YEAR(H216)-(($I216/12)-3),MONTH(H216),DAY(H216)),"dd/mm/yyyy"),", ",Constants!$P$7,TEXT(DATE(YEAR(H216)-(($I216/12)-8),MONTH(H216),DAY(H216)),"dd/mm/yyyy"),", ",Constants!$T$7,TEXT(DATE(YEAR(H216)-(($I216/12)-11),MONTH(H216),DAY(H216)),"dd/mm/yyyy"),", ",Constants!$V$7,TEXT(DATE(YEAR(H216)-(($I216/12)-13),MONTH(H216),DAY(H216)),"dd/mm/yyyy"),", ",Constants!$W$7,TEXT($H216,"dd/mm/yyyy")),IF(($I216/12)=10,_xlfn.CONCAT(Constants!$N$6,TEXT(DATE(YEAR(H216)-(($I216/12)-2),MONTH(H216),DAY(H216)),"dd/mm/yyyy"),", ",Constants!$P$6,TEXT(DATE(YEAR(H216)-(($I216/12)-6),MONTH(H216),DAY(H216)),"dd/mm/yyyy"),", ",Constants!$T$6,TEXT(DATE(YEAR(H216)-(($I216/12)-8),MONTH(H216),DAY(H216)),"dd/mm/yyyy"),", ",Constants!$V$6,TEXT(DATE(YEAR(H216)-(($I216/12)-9),MONTH(H216),DAY(H216)),"dd/mm/yyyy"),", ",Constants!$W$6,TEXT($H216,"dd/mm/yyyy")),IF(($I216/12)=5,_xlfn.CONCAT(Constants!$N$5,TEXT(DATE(YEAR(H216)-(($I216/12)-1),MONTH(H216),DAY(H216)),"dd/mm/yyyy"),", ",Constants!$O$5,TEXT(DATE(YEAR(H216)-(($I216/12)-2),MONTH(H216),DAY(H216)),"dd/mm/yyyy"),", ",Constants!$P$5,TEXT(DATE(YEAR(H216)-(($I216/12)-3),MONTH(H216),DAY(H216)),"dd/mm/yyyy"),", ",Constants!$Q$5,TEXT(DATE(YEAR(H216)-(($I216/12)-4),MONTH(H216),DAY(H216)),"dd/mm/yyyy"),", ",Constants!$R$5,TEXT($H216,"dd/mm/yyyy")),IF(($I216/12)=3,_xlfn.CONCAT(Constants!$N$4,TEXT(DATE(YEAR(H216)-(($I216/12)-1),MONTH(H216),DAY(H216)),"dd/mm/yyyy"),", ",Constants!$O$4,TEXT(DATE(YEAR(H216)-(($I216/12)-2),MONTH(H216),DAY(H216)),"dd/mm/yyyy"),", ",Constants!$P$4,TEXT($H216,"dd/mm/yyyy")),IF(($I216/12)=2,_xlfn.CONCAT(Constants!$N$3,TEXT(DATE(YEAR(H216)-(($I216/12)-1),MONTH(H216),DAY(H216)),"dd/mm/yyyy"),", ",Constants!$O$3,TEXT($H216,"dd/mm/yyyy")),IF(($I216/12)=1,_xlfn.CONCAT(Constants!$N$2,TEXT($H216,"dd/mm/yyyy")),"Update Constants"))))))),"")</f>
        <v/>
      </c>
      <c r="BC216" s="147" t="str">
        <f>_xlfn.IFNA(VALUE(INDEX(Producer!$K:$K,MATCH($D216,Producer!$A:$A,0))),"")</f>
        <v/>
      </c>
      <c r="BD216" s="147" t="str">
        <f>_xlfn.IFNA(INDEX(Producer!$I:$I,MATCH($D216,Producer!$A:$A,0)),"")</f>
        <v/>
      </c>
      <c r="BE216" s="147" t="str">
        <f t="shared" si="92"/>
        <v/>
      </c>
      <c r="BF216" s="147"/>
      <c r="BG216" s="147"/>
      <c r="BH216" s="151" t="str">
        <f>_xlfn.IFNA(INDEX(Constants!$B:$B,MATCH(BC216,Constants!A:A,0)),"")</f>
        <v/>
      </c>
      <c r="BI216" s="147" t="str">
        <f>IF(LEFT(B216,15)="Limited Company",Constants!$D$16,IFERROR(_xlfn.IFNA(IF(C216="Residential",IF(BK216&lt;75,INDEX(Constants!$B:$B,MATCH(VALUE(60)/100,Constants!$A:$A,0)),INDEX(Constants!$B:$B,MATCH(VALUE(BK216)/100,Constants!$A:$A,0))),IF(BK216&lt;60,INDEX(Constants!$C:$C,MATCH(VALUE(60)/100,Constants!$A:$A,0)),INDEX(Constants!$C:$C,MATCH(VALUE(BK216)/100,Constants!$A:$A,0)))),""),""))</f>
        <v/>
      </c>
      <c r="BJ216" s="147" t="str">
        <f t="shared" si="93"/>
        <v/>
      </c>
      <c r="BK216" s="147" t="str">
        <f>_xlfn.IFNA(VALUE(INDEX(Producer!$E:$E,MATCH($D216,Producer!$A:$A,0)))*100,"")</f>
        <v/>
      </c>
      <c r="BL216" s="146" t="str">
        <f>_xlfn.IFNA(IF(IFERROR(FIND("Part &amp; Part",B216),-10)&gt;0,"PP",IF(OR(LEFT(B216,25)="Residential Interest Only",INDEX(Producer!$P:$P,MATCH($D216,Producer!$A:$A,0))="IO",INDEX(Producer!$P:$P,MATCH($D216,Producer!$A:$A,0))="Retirement Interest Only"),"IO",IF($C216="BuyToLet","CI, IO","CI"))),"")</f>
        <v/>
      </c>
      <c r="BM216" s="152" t="str">
        <f>_xlfn.IFNA(IF(BL216="IO",100%,IF(AND(INDEX(Producer!$P:$P,MATCH($D216,Producer!$A:$A,0))="Residential Interest Only Part &amp; Part",BK216=75),80%,IF(C216="BuyToLet",100%,IF(BL216="Interest Only",100%,IF(AND(INDEX(Producer!$P:$P,MATCH($D216,Producer!$A:$A,0))="Residential Interest Only Part &amp; Part",BK216=60),100%,""))))),"")</f>
        <v/>
      </c>
      <c r="BN216" s="218" t="str">
        <f>_xlfn.IFNA(IF(VALUE(INDEX(Producer!$H:$H,MATCH($D216,Producer!$A:$A,0)))=0,"",VALUE(INDEX(Producer!$H:$H,MATCH($D216,Producer!$A:$A,0)))),"")</f>
        <v/>
      </c>
      <c r="BO216" s="153"/>
      <c r="BP216" s="153"/>
      <c r="BQ216" s="219" t="str">
        <f t="shared" si="94"/>
        <v/>
      </c>
      <c r="BR216" s="146"/>
      <c r="BS216" s="146"/>
      <c r="BT216" s="146"/>
      <c r="BU216" s="146"/>
      <c r="BV216" s="219" t="str">
        <f t="shared" si="95"/>
        <v/>
      </c>
      <c r="BW216" s="146"/>
      <c r="BX216" s="146"/>
      <c r="BY216" s="146" t="str">
        <f t="shared" si="96"/>
        <v/>
      </c>
      <c r="BZ216" s="146" t="str">
        <f t="shared" si="97"/>
        <v/>
      </c>
      <c r="CA216" s="146" t="str">
        <f t="shared" si="98"/>
        <v/>
      </c>
      <c r="CB216" s="146" t="str">
        <f t="shared" si="99"/>
        <v/>
      </c>
      <c r="CC216" s="146" t="str">
        <f>_xlfn.IFNA(IF(INDEX(Producer!$P:$P,MATCH($D216,Producer!$A:$A,0))="Help to Buy","Only available","No"),"")</f>
        <v/>
      </c>
      <c r="CD216" s="146" t="str">
        <f>_xlfn.IFNA(IF(INDEX(Producer!$P:$P,MATCH($D216,Producer!$A:$A,0))="Shared Ownership","Only available","No"),"")</f>
        <v/>
      </c>
      <c r="CE216" s="146" t="str">
        <f>_xlfn.IFNA(IF(INDEX(Producer!$P:$P,MATCH($D216,Producer!$A:$A,0))="Right to Buy","Only available","No"),"")</f>
        <v/>
      </c>
      <c r="CF216" s="146" t="str">
        <f t="shared" si="100"/>
        <v/>
      </c>
      <c r="CG216" s="146" t="str">
        <f>_xlfn.IFNA(IF(INDEX(Producer!$P:$P,MATCH($D216,Producer!$A:$A,0))="Retirement Interest Only","Only available","No"),"")</f>
        <v/>
      </c>
      <c r="CH216" s="146" t="str">
        <f t="shared" si="101"/>
        <v/>
      </c>
      <c r="CI216" s="146" t="str">
        <f>_xlfn.IFNA(IF(INDEX(Producer!$P:$P,MATCH($D216,Producer!$A:$A,0))="Intermediary Holiday Let","Only available","No"),"")</f>
        <v/>
      </c>
      <c r="CJ216" s="146" t="str">
        <f t="shared" si="102"/>
        <v/>
      </c>
      <c r="CK216" s="146" t="str">
        <f>_xlfn.IFNA(IF(OR(INDEX(Producer!$P:$P,MATCH($D216,Producer!$A:$A,0))="Intermediary Small HMO",INDEX(Producer!$P:$P,MATCH($D216,Producer!$A:$A,0))="Intermediary Large HMO"),"Only available","No"),"")</f>
        <v/>
      </c>
      <c r="CL216" s="146" t="str">
        <f t="shared" si="103"/>
        <v/>
      </c>
      <c r="CM216" s="146" t="str">
        <f t="shared" si="104"/>
        <v/>
      </c>
      <c r="CN216" s="146" t="str">
        <f t="shared" si="105"/>
        <v/>
      </c>
      <c r="CO216" s="146" t="str">
        <f t="shared" si="106"/>
        <v/>
      </c>
      <c r="CP216" s="146" t="str">
        <f t="shared" si="107"/>
        <v/>
      </c>
      <c r="CQ216" s="146" t="str">
        <f t="shared" si="108"/>
        <v/>
      </c>
      <c r="CR216" s="146" t="str">
        <f t="shared" si="109"/>
        <v/>
      </c>
      <c r="CS216" s="146" t="str">
        <f t="shared" si="110"/>
        <v/>
      </c>
      <c r="CT216" s="146" t="str">
        <f t="shared" si="111"/>
        <v/>
      </c>
      <c r="CU216" s="146"/>
    </row>
    <row r="217" spans="1:99" ht="16.399999999999999" customHeight="1" x14ac:dyDescent="0.35">
      <c r="A217" s="145" t="str">
        <f t="shared" si="84"/>
        <v/>
      </c>
      <c r="B217" s="145" t="str">
        <f>_xlfn.IFNA(_xlfn.CONCAT(INDEX(Producer!$P:$P,MATCH($D217,Producer!$A:$A,0))," ",IF(INDEX(Producer!$N:$N,MATCH($D217,Producer!$A:$A,0))="Yes","Green ",""),IF(AND(INDEX(Producer!$L:$L,MATCH($D217,Producer!$A:$A,0))="No",INDEX(Producer!$C:$C,MATCH($D217,Producer!$A:$A,0))="Fixed"),"Flexit ",""),INDEX(Producer!$B:$B,MATCH($D217,Producer!$A:$A,0))," Year ",INDEX(Producer!$C:$C,MATCH($D217,Producer!$A:$A,0))," ",VALUE(INDEX(Producer!$E:$E,MATCH($D217,Producer!$A:$A,0)))*100,"% LTV",IF(INDEX(Producer!$N:$N,MATCH($D217,Producer!$A:$A,0))="Yes"," (EPC A-C)","")," - ",IF(INDEX(Producer!$D:$D,MATCH($D217,Producer!$A:$A,0))="DLY","Daily","Annual")),"")</f>
        <v/>
      </c>
      <c r="C217" s="146" t="str">
        <f>_xlfn.IFNA(INDEX(Producer!$Q:$Q,MATCH($D217,Producer!$A:$A,0)),"")</f>
        <v/>
      </c>
      <c r="D217" s="146" t="str">
        <f>IFERROR(VALUE(MID(Producer!$R$2,IF($D216="",1/0,FIND(_xlfn.CONCAT($D215,$D216),Producer!$R$2)+10),5)),"")</f>
        <v/>
      </c>
      <c r="E217" s="146" t="str">
        <f t="shared" si="85"/>
        <v/>
      </c>
      <c r="F217" s="146"/>
      <c r="G217" s="147" t="str">
        <f>_xlfn.IFNA(VALUE(INDEX(Producer!$F:$F,MATCH($D217,Producer!$A:$A,0)))*100,"")</f>
        <v/>
      </c>
      <c r="H217" s="216" t="str">
        <f>_xlfn.IFNA(IFERROR(DATEVALUE(INDEX(Producer!$M:$M,MATCH($D217,Producer!$A:$A,0))),(INDEX(Producer!$M:$M,MATCH($D217,Producer!$A:$A,0)))),"")</f>
        <v/>
      </c>
      <c r="I217" s="217" t="str">
        <f>_xlfn.IFNA(VALUE(INDEX(Producer!$B:$B,MATCH($D217,Producer!$A:$A,0)))*12,"")</f>
        <v/>
      </c>
      <c r="J217" s="146" t="str">
        <f>_xlfn.IFNA(IF(C217="Residential",IF(VALUE(INDEX(Producer!$B:$B,MATCH($D217,Producer!$A:$A,0)))&lt;5,Constants!$C$10,""),IF(VALUE(INDEX(Producer!$B:$B,MATCH($D217,Producer!$A:$A,0)))&lt;5,Constants!$C$11,"")),"")</f>
        <v/>
      </c>
      <c r="K217" s="216" t="str">
        <f>_xlfn.IFNA(IF(($I217)&lt;60,DATE(YEAR(H217)+(5-VALUE(INDEX(Producer!$B:$B,MATCH($D217,Producer!$A:$A,0)))),MONTH(H217),DAY(H217)),""),"")</f>
        <v/>
      </c>
      <c r="L217" s="153" t="str">
        <f t="shared" si="86"/>
        <v/>
      </c>
      <c r="M217" s="146"/>
      <c r="N217" s="148"/>
      <c r="O217" s="148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6"/>
      <c r="AK217" s="146" t="str">
        <f>IF(D217="","",IF(C217="Residential",Constants!$B$10,Constants!$B$11))</f>
        <v/>
      </c>
      <c r="AL217" s="146" t="str">
        <f t="shared" si="87"/>
        <v/>
      </c>
      <c r="AM217" s="206" t="str">
        <f t="shared" si="88"/>
        <v/>
      </c>
      <c r="AN217" s="146" t="str">
        <f t="shared" si="89"/>
        <v/>
      </c>
      <c r="AO217" s="149" t="str">
        <f t="shared" si="90"/>
        <v/>
      </c>
      <c r="AP217" s="150" t="str">
        <f t="shared" si="91"/>
        <v/>
      </c>
      <c r="AQ217" s="146" t="str">
        <f>IFERROR(_xlfn.IFNA(IF($BA217="No",0,IF(INDEX(Constants!B:B,MATCH(($I217/12),Constants!$A:$A,0))=0,0,INDEX(Constants!B:B,MATCH(($I217/12),Constants!$A:$A,0)))),0),"")</f>
        <v/>
      </c>
      <c r="AR217" s="146" t="str">
        <f>IFERROR(_xlfn.IFNA(IF($BA217="No",0,IF(INDEX(Constants!C:C,MATCH(($I217/12),Constants!$A:$A,0))=0,0,INDEX(Constants!C:C,MATCH(($I217/12),Constants!$A:$A,0)))),0),"")</f>
        <v/>
      </c>
      <c r="AS217" s="146" t="str">
        <f>IFERROR(_xlfn.IFNA(IF($BA217="No",0,IF(INDEX(Constants!D:D,MATCH(($I217/12),Constants!$A:$A,0))=0,0,INDEX(Constants!D:D,MATCH(($I217/12),Constants!$A:$A,0)))),0),"")</f>
        <v/>
      </c>
      <c r="AT217" s="146" t="str">
        <f>IFERROR(_xlfn.IFNA(IF($BA217="No",0,IF(INDEX(Constants!E:E,MATCH(($I217/12),Constants!$A:$A,0))=0,0,INDEX(Constants!E:E,MATCH(($I217/12),Constants!$A:$A,0)))),0),"")</f>
        <v/>
      </c>
      <c r="AU217" s="146" t="str">
        <f>IFERROR(_xlfn.IFNA(IF($BA217="No",0,IF(INDEX(Constants!F:F,MATCH(($I217/12),Constants!$A:$A,0))=0,0,INDEX(Constants!F:F,MATCH(($I217/12),Constants!$A:$A,0)))),0),"")</f>
        <v/>
      </c>
      <c r="AV217" s="146" t="str">
        <f>IFERROR(_xlfn.IFNA(IF($BA217="No",0,IF(INDEX(Constants!G:G,MATCH(($I217/12),Constants!$A:$A,0))=0,0,INDEX(Constants!G:G,MATCH(($I217/12),Constants!$A:$A,0)))),0),"")</f>
        <v/>
      </c>
      <c r="AW217" s="146" t="str">
        <f>IFERROR(_xlfn.IFNA(IF($BA217="No",0,IF(INDEX(Constants!H:H,MATCH(($I217/12),Constants!$A:$A,0))=0,0,INDEX(Constants!H:H,MATCH(($I217/12),Constants!$A:$A,0)))),0),"")</f>
        <v/>
      </c>
      <c r="AX217" s="146" t="str">
        <f>IFERROR(_xlfn.IFNA(IF($BA217="No",0,IF(INDEX(Constants!I:I,MATCH(($I217/12),Constants!$A:$A,0))=0,0,INDEX(Constants!I:I,MATCH(($I217/12),Constants!$A:$A,0)))),0),"")</f>
        <v/>
      </c>
      <c r="AY217" s="146" t="str">
        <f>IFERROR(_xlfn.IFNA(IF($BA217="No",0,IF(INDEX(Constants!J:J,MATCH(($I217/12),Constants!$A:$A,0))=0,0,INDEX(Constants!J:J,MATCH(($I217/12),Constants!$A:$A,0)))),0),"")</f>
        <v/>
      </c>
      <c r="AZ217" s="146" t="str">
        <f>IFERROR(_xlfn.IFNA(IF($BA217="No",0,IF(INDEX(Constants!K:K,MATCH(($I217/12),Constants!$A:$A,0))=0,0,INDEX(Constants!K:K,MATCH(($I217/12),Constants!$A:$A,0)))),0),"")</f>
        <v/>
      </c>
      <c r="BA217" s="147" t="str">
        <f>_xlfn.IFNA(INDEX(Producer!$L:$L,MATCH($D217,Producer!$A:$A,0)),"")</f>
        <v/>
      </c>
      <c r="BB217" s="146" t="str">
        <f>IFERROR(IF(AQ217=0,"",IF(($I217/12)=15,_xlfn.CONCAT(Constants!$N$7,TEXT(DATE(YEAR(H217)-(($I217/12)-3),MONTH(H217),DAY(H217)),"dd/mm/yyyy"),", ",Constants!$P$7,TEXT(DATE(YEAR(H217)-(($I217/12)-8),MONTH(H217),DAY(H217)),"dd/mm/yyyy"),", ",Constants!$T$7,TEXT(DATE(YEAR(H217)-(($I217/12)-11),MONTH(H217),DAY(H217)),"dd/mm/yyyy"),", ",Constants!$V$7,TEXT(DATE(YEAR(H217)-(($I217/12)-13),MONTH(H217),DAY(H217)),"dd/mm/yyyy"),", ",Constants!$W$7,TEXT($H217,"dd/mm/yyyy")),IF(($I217/12)=10,_xlfn.CONCAT(Constants!$N$6,TEXT(DATE(YEAR(H217)-(($I217/12)-2),MONTH(H217),DAY(H217)),"dd/mm/yyyy"),", ",Constants!$P$6,TEXT(DATE(YEAR(H217)-(($I217/12)-6),MONTH(H217),DAY(H217)),"dd/mm/yyyy"),", ",Constants!$T$6,TEXT(DATE(YEAR(H217)-(($I217/12)-8),MONTH(H217),DAY(H217)),"dd/mm/yyyy"),", ",Constants!$V$6,TEXT(DATE(YEAR(H217)-(($I217/12)-9),MONTH(H217),DAY(H217)),"dd/mm/yyyy"),", ",Constants!$W$6,TEXT($H217,"dd/mm/yyyy")),IF(($I217/12)=5,_xlfn.CONCAT(Constants!$N$5,TEXT(DATE(YEAR(H217)-(($I217/12)-1),MONTH(H217),DAY(H217)),"dd/mm/yyyy"),", ",Constants!$O$5,TEXT(DATE(YEAR(H217)-(($I217/12)-2),MONTH(H217),DAY(H217)),"dd/mm/yyyy"),", ",Constants!$P$5,TEXT(DATE(YEAR(H217)-(($I217/12)-3),MONTH(H217),DAY(H217)),"dd/mm/yyyy"),", ",Constants!$Q$5,TEXT(DATE(YEAR(H217)-(($I217/12)-4),MONTH(H217),DAY(H217)),"dd/mm/yyyy"),", ",Constants!$R$5,TEXT($H217,"dd/mm/yyyy")),IF(($I217/12)=3,_xlfn.CONCAT(Constants!$N$4,TEXT(DATE(YEAR(H217)-(($I217/12)-1),MONTH(H217),DAY(H217)),"dd/mm/yyyy"),", ",Constants!$O$4,TEXT(DATE(YEAR(H217)-(($I217/12)-2),MONTH(H217),DAY(H217)),"dd/mm/yyyy"),", ",Constants!$P$4,TEXT($H217,"dd/mm/yyyy")),IF(($I217/12)=2,_xlfn.CONCAT(Constants!$N$3,TEXT(DATE(YEAR(H217)-(($I217/12)-1),MONTH(H217),DAY(H217)),"dd/mm/yyyy"),", ",Constants!$O$3,TEXT($H217,"dd/mm/yyyy")),IF(($I217/12)=1,_xlfn.CONCAT(Constants!$N$2,TEXT($H217,"dd/mm/yyyy")),"Update Constants"))))))),"")</f>
        <v/>
      </c>
      <c r="BC217" s="147" t="str">
        <f>_xlfn.IFNA(VALUE(INDEX(Producer!$K:$K,MATCH($D217,Producer!$A:$A,0))),"")</f>
        <v/>
      </c>
      <c r="BD217" s="147" t="str">
        <f>_xlfn.IFNA(INDEX(Producer!$I:$I,MATCH($D217,Producer!$A:$A,0)),"")</f>
        <v/>
      </c>
      <c r="BE217" s="147" t="str">
        <f t="shared" si="92"/>
        <v/>
      </c>
      <c r="BF217" s="147"/>
      <c r="BG217" s="147"/>
      <c r="BH217" s="151" t="str">
        <f>_xlfn.IFNA(INDEX(Constants!$B:$B,MATCH(BC217,Constants!A:A,0)),"")</f>
        <v/>
      </c>
      <c r="BI217" s="147" t="str">
        <f>IF(LEFT(B217,15)="Limited Company",Constants!$D$16,IFERROR(_xlfn.IFNA(IF(C217="Residential",IF(BK217&lt;75,INDEX(Constants!$B:$B,MATCH(VALUE(60)/100,Constants!$A:$A,0)),INDEX(Constants!$B:$B,MATCH(VALUE(BK217)/100,Constants!$A:$A,0))),IF(BK217&lt;60,INDEX(Constants!$C:$C,MATCH(VALUE(60)/100,Constants!$A:$A,0)),INDEX(Constants!$C:$C,MATCH(VALUE(BK217)/100,Constants!$A:$A,0)))),""),""))</f>
        <v/>
      </c>
      <c r="BJ217" s="147" t="str">
        <f t="shared" si="93"/>
        <v/>
      </c>
      <c r="BK217" s="147" t="str">
        <f>_xlfn.IFNA(VALUE(INDEX(Producer!$E:$E,MATCH($D217,Producer!$A:$A,0)))*100,"")</f>
        <v/>
      </c>
      <c r="BL217" s="146" t="str">
        <f>_xlfn.IFNA(IF(IFERROR(FIND("Part &amp; Part",B217),-10)&gt;0,"PP",IF(OR(LEFT(B217,25)="Residential Interest Only",INDEX(Producer!$P:$P,MATCH($D217,Producer!$A:$A,0))="IO",INDEX(Producer!$P:$P,MATCH($D217,Producer!$A:$A,0))="Retirement Interest Only"),"IO",IF($C217="BuyToLet","CI, IO","CI"))),"")</f>
        <v/>
      </c>
      <c r="BM217" s="152" t="str">
        <f>_xlfn.IFNA(IF(BL217="IO",100%,IF(AND(INDEX(Producer!$P:$P,MATCH($D217,Producer!$A:$A,0))="Residential Interest Only Part &amp; Part",BK217=75),80%,IF(C217="BuyToLet",100%,IF(BL217="Interest Only",100%,IF(AND(INDEX(Producer!$P:$P,MATCH($D217,Producer!$A:$A,0))="Residential Interest Only Part &amp; Part",BK217=60),100%,""))))),"")</f>
        <v/>
      </c>
      <c r="BN217" s="218" t="str">
        <f>_xlfn.IFNA(IF(VALUE(INDEX(Producer!$H:$H,MATCH($D217,Producer!$A:$A,0)))=0,"",VALUE(INDEX(Producer!$H:$H,MATCH($D217,Producer!$A:$A,0)))),"")</f>
        <v/>
      </c>
      <c r="BO217" s="153"/>
      <c r="BP217" s="153"/>
      <c r="BQ217" s="219" t="str">
        <f t="shared" si="94"/>
        <v/>
      </c>
      <c r="BR217" s="146"/>
      <c r="BS217" s="146"/>
      <c r="BT217" s="146"/>
      <c r="BU217" s="146"/>
      <c r="BV217" s="219" t="str">
        <f t="shared" si="95"/>
        <v/>
      </c>
      <c r="BW217" s="146"/>
      <c r="BX217" s="146"/>
      <c r="BY217" s="146" t="str">
        <f t="shared" si="96"/>
        <v/>
      </c>
      <c r="BZ217" s="146" t="str">
        <f t="shared" si="97"/>
        <v/>
      </c>
      <c r="CA217" s="146" t="str">
        <f t="shared" si="98"/>
        <v/>
      </c>
      <c r="CB217" s="146" t="str">
        <f t="shared" si="99"/>
        <v/>
      </c>
      <c r="CC217" s="146" t="str">
        <f>_xlfn.IFNA(IF(INDEX(Producer!$P:$P,MATCH($D217,Producer!$A:$A,0))="Help to Buy","Only available","No"),"")</f>
        <v/>
      </c>
      <c r="CD217" s="146" t="str">
        <f>_xlfn.IFNA(IF(INDEX(Producer!$P:$P,MATCH($D217,Producer!$A:$A,0))="Shared Ownership","Only available","No"),"")</f>
        <v/>
      </c>
      <c r="CE217" s="146" t="str">
        <f>_xlfn.IFNA(IF(INDEX(Producer!$P:$P,MATCH($D217,Producer!$A:$A,0))="Right to Buy","Only available","No"),"")</f>
        <v/>
      </c>
      <c r="CF217" s="146" t="str">
        <f t="shared" si="100"/>
        <v/>
      </c>
      <c r="CG217" s="146" t="str">
        <f>_xlfn.IFNA(IF(INDEX(Producer!$P:$P,MATCH($D217,Producer!$A:$A,0))="Retirement Interest Only","Only available","No"),"")</f>
        <v/>
      </c>
      <c r="CH217" s="146" t="str">
        <f t="shared" si="101"/>
        <v/>
      </c>
      <c r="CI217" s="146" t="str">
        <f>_xlfn.IFNA(IF(INDEX(Producer!$P:$P,MATCH($D217,Producer!$A:$A,0))="Intermediary Holiday Let","Only available","No"),"")</f>
        <v/>
      </c>
      <c r="CJ217" s="146" t="str">
        <f t="shared" si="102"/>
        <v/>
      </c>
      <c r="CK217" s="146" t="str">
        <f>_xlfn.IFNA(IF(OR(INDEX(Producer!$P:$P,MATCH($D217,Producer!$A:$A,0))="Intermediary Small HMO",INDEX(Producer!$P:$P,MATCH($D217,Producer!$A:$A,0))="Intermediary Large HMO"),"Only available","No"),"")</f>
        <v/>
      </c>
      <c r="CL217" s="146" t="str">
        <f t="shared" si="103"/>
        <v/>
      </c>
      <c r="CM217" s="146" t="str">
        <f t="shared" si="104"/>
        <v/>
      </c>
      <c r="CN217" s="146" t="str">
        <f t="shared" si="105"/>
        <v/>
      </c>
      <c r="CO217" s="146" t="str">
        <f t="shared" si="106"/>
        <v/>
      </c>
      <c r="CP217" s="146" t="str">
        <f t="shared" si="107"/>
        <v/>
      </c>
      <c r="CQ217" s="146" t="str">
        <f t="shared" si="108"/>
        <v/>
      </c>
      <c r="CR217" s="146" t="str">
        <f t="shared" si="109"/>
        <v/>
      </c>
      <c r="CS217" s="146" t="str">
        <f t="shared" si="110"/>
        <v/>
      </c>
      <c r="CT217" s="146" t="str">
        <f t="shared" si="111"/>
        <v/>
      </c>
      <c r="CU217" s="146"/>
    </row>
    <row r="218" spans="1:99" ht="16.399999999999999" customHeight="1" x14ac:dyDescent="0.35">
      <c r="A218" s="145" t="str">
        <f t="shared" si="84"/>
        <v/>
      </c>
      <c r="B218" s="145" t="str">
        <f>_xlfn.IFNA(_xlfn.CONCAT(INDEX(Producer!$P:$P,MATCH($D218,Producer!$A:$A,0))," ",IF(INDEX(Producer!$N:$N,MATCH($D218,Producer!$A:$A,0))="Yes","Green ",""),IF(AND(INDEX(Producer!$L:$L,MATCH($D218,Producer!$A:$A,0))="No",INDEX(Producer!$C:$C,MATCH($D218,Producer!$A:$A,0))="Fixed"),"Flexit ",""),INDEX(Producer!$B:$B,MATCH($D218,Producer!$A:$A,0))," Year ",INDEX(Producer!$C:$C,MATCH($D218,Producer!$A:$A,0))," ",VALUE(INDEX(Producer!$E:$E,MATCH($D218,Producer!$A:$A,0)))*100,"% LTV",IF(INDEX(Producer!$N:$N,MATCH($D218,Producer!$A:$A,0))="Yes"," (EPC A-C)","")," - ",IF(INDEX(Producer!$D:$D,MATCH($D218,Producer!$A:$A,0))="DLY","Daily","Annual")),"")</f>
        <v/>
      </c>
      <c r="C218" s="146" t="str">
        <f>_xlfn.IFNA(INDEX(Producer!$Q:$Q,MATCH($D218,Producer!$A:$A,0)),"")</f>
        <v/>
      </c>
      <c r="D218" s="146" t="str">
        <f>IFERROR(VALUE(MID(Producer!$R$2,IF($D217="",1/0,FIND(_xlfn.CONCAT($D216,$D217),Producer!$R$2)+10),5)),"")</f>
        <v/>
      </c>
      <c r="E218" s="146" t="str">
        <f t="shared" si="85"/>
        <v/>
      </c>
      <c r="F218" s="146"/>
      <c r="G218" s="147" t="str">
        <f>_xlfn.IFNA(VALUE(INDEX(Producer!$F:$F,MATCH($D218,Producer!$A:$A,0)))*100,"")</f>
        <v/>
      </c>
      <c r="H218" s="216" t="str">
        <f>_xlfn.IFNA(IFERROR(DATEVALUE(INDEX(Producer!$M:$M,MATCH($D218,Producer!$A:$A,0))),(INDEX(Producer!$M:$M,MATCH($D218,Producer!$A:$A,0)))),"")</f>
        <v/>
      </c>
      <c r="I218" s="217" t="str">
        <f>_xlfn.IFNA(VALUE(INDEX(Producer!$B:$B,MATCH($D218,Producer!$A:$A,0)))*12,"")</f>
        <v/>
      </c>
      <c r="J218" s="146" t="str">
        <f>_xlfn.IFNA(IF(C218="Residential",IF(VALUE(INDEX(Producer!$B:$B,MATCH($D218,Producer!$A:$A,0)))&lt;5,Constants!$C$10,""),IF(VALUE(INDEX(Producer!$B:$B,MATCH($D218,Producer!$A:$A,0)))&lt;5,Constants!$C$11,"")),"")</f>
        <v/>
      </c>
      <c r="K218" s="216" t="str">
        <f>_xlfn.IFNA(IF(($I218)&lt;60,DATE(YEAR(H218)+(5-VALUE(INDEX(Producer!$B:$B,MATCH($D218,Producer!$A:$A,0)))),MONTH(H218),DAY(H218)),""),"")</f>
        <v/>
      </c>
      <c r="L218" s="153" t="str">
        <f t="shared" si="86"/>
        <v/>
      </c>
      <c r="M218" s="146"/>
      <c r="N218" s="148"/>
      <c r="O218" s="148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6"/>
      <c r="AK218" s="146" t="str">
        <f>IF(D218="","",IF(C218="Residential",Constants!$B$10,Constants!$B$11))</f>
        <v/>
      </c>
      <c r="AL218" s="146" t="str">
        <f t="shared" si="87"/>
        <v/>
      </c>
      <c r="AM218" s="206" t="str">
        <f t="shared" si="88"/>
        <v/>
      </c>
      <c r="AN218" s="146" t="str">
        <f t="shared" si="89"/>
        <v/>
      </c>
      <c r="AO218" s="149" t="str">
        <f t="shared" si="90"/>
        <v/>
      </c>
      <c r="AP218" s="150" t="str">
        <f t="shared" si="91"/>
        <v/>
      </c>
      <c r="AQ218" s="146" t="str">
        <f>IFERROR(_xlfn.IFNA(IF($BA218="No",0,IF(INDEX(Constants!B:B,MATCH(($I218/12),Constants!$A:$A,0))=0,0,INDEX(Constants!B:B,MATCH(($I218/12),Constants!$A:$A,0)))),0),"")</f>
        <v/>
      </c>
      <c r="AR218" s="146" t="str">
        <f>IFERROR(_xlfn.IFNA(IF($BA218="No",0,IF(INDEX(Constants!C:C,MATCH(($I218/12),Constants!$A:$A,0))=0,0,INDEX(Constants!C:C,MATCH(($I218/12),Constants!$A:$A,0)))),0),"")</f>
        <v/>
      </c>
      <c r="AS218" s="146" t="str">
        <f>IFERROR(_xlfn.IFNA(IF($BA218="No",0,IF(INDEX(Constants!D:D,MATCH(($I218/12),Constants!$A:$A,0))=0,0,INDEX(Constants!D:D,MATCH(($I218/12),Constants!$A:$A,0)))),0),"")</f>
        <v/>
      </c>
      <c r="AT218" s="146" t="str">
        <f>IFERROR(_xlfn.IFNA(IF($BA218="No",0,IF(INDEX(Constants!E:E,MATCH(($I218/12),Constants!$A:$A,0))=0,0,INDEX(Constants!E:E,MATCH(($I218/12),Constants!$A:$A,0)))),0),"")</f>
        <v/>
      </c>
      <c r="AU218" s="146" t="str">
        <f>IFERROR(_xlfn.IFNA(IF($BA218="No",0,IF(INDEX(Constants!F:F,MATCH(($I218/12),Constants!$A:$A,0))=0,0,INDEX(Constants!F:F,MATCH(($I218/12),Constants!$A:$A,0)))),0),"")</f>
        <v/>
      </c>
      <c r="AV218" s="146" t="str">
        <f>IFERROR(_xlfn.IFNA(IF($BA218="No",0,IF(INDEX(Constants!G:G,MATCH(($I218/12),Constants!$A:$A,0))=0,0,INDEX(Constants!G:G,MATCH(($I218/12),Constants!$A:$A,0)))),0),"")</f>
        <v/>
      </c>
      <c r="AW218" s="146" t="str">
        <f>IFERROR(_xlfn.IFNA(IF($BA218="No",0,IF(INDEX(Constants!H:H,MATCH(($I218/12),Constants!$A:$A,0))=0,0,INDEX(Constants!H:H,MATCH(($I218/12),Constants!$A:$A,0)))),0),"")</f>
        <v/>
      </c>
      <c r="AX218" s="146" t="str">
        <f>IFERROR(_xlfn.IFNA(IF($BA218="No",0,IF(INDEX(Constants!I:I,MATCH(($I218/12),Constants!$A:$A,0))=0,0,INDEX(Constants!I:I,MATCH(($I218/12),Constants!$A:$A,0)))),0),"")</f>
        <v/>
      </c>
      <c r="AY218" s="146" t="str">
        <f>IFERROR(_xlfn.IFNA(IF($BA218="No",0,IF(INDEX(Constants!J:J,MATCH(($I218/12),Constants!$A:$A,0))=0,0,INDEX(Constants!J:J,MATCH(($I218/12),Constants!$A:$A,0)))),0),"")</f>
        <v/>
      </c>
      <c r="AZ218" s="146" t="str">
        <f>IFERROR(_xlfn.IFNA(IF($BA218="No",0,IF(INDEX(Constants!K:K,MATCH(($I218/12),Constants!$A:$A,0))=0,0,INDEX(Constants!K:K,MATCH(($I218/12),Constants!$A:$A,0)))),0),"")</f>
        <v/>
      </c>
      <c r="BA218" s="147" t="str">
        <f>_xlfn.IFNA(INDEX(Producer!$L:$L,MATCH($D218,Producer!$A:$A,0)),"")</f>
        <v/>
      </c>
      <c r="BB218" s="146" t="str">
        <f>IFERROR(IF(AQ218=0,"",IF(($I218/12)=15,_xlfn.CONCAT(Constants!$N$7,TEXT(DATE(YEAR(H218)-(($I218/12)-3),MONTH(H218),DAY(H218)),"dd/mm/yyyy"),", ",Constants!$P$7,TEXT(DATE(YEAR(H218)-(($I218/12)-8),MONTH(H218),DAY(H218)),"dd/mm/yyyy"),", ",Constants!$T$7,TEXT(DATE(YEAR(H218)-(($I218/12)-11),MONTH(H218),DAY(H218)),"dd/mm/yyyy"),", ",Constants!$V$7,TEXT(DATE(YEAR(H218)-(($I218/12)-13),MONTH(H218),DAY(H218)),"dd/mm/yyyy"),", ",Constants!$W$7,TEXT($H218,"dd/mm/yyyy")),IF(($I218/12)=10,_xlfn.CONCAT(Constants!$N$6,TEXT(DATE(YEAR(H218)-(($I218/12)-2),MONTH(H218),DAY(H218)),"dd/mm/yyyy"),", ",Constants!$P$6,TEXT(DATE(YEAR(H218)-(($I218/12)-6),MONTH(H218),DAY(H218)),"dd/mm/yyyy"),", ",Constants!$T$6,TEXT(DATE(YEAR(H218)-(($I218/12)-8),MONTH(H218),DAY(H218)),"dd/mm/yyyy"),", ",Constants!$V$6,TEXT(DATE(YEAR(H218)-(($I218/12)-9),MONTH(H218),DAY(H218)),"dd/mm/yyyy"),", ",Constants!$W$6,TEXT($H218,"dd/mm/yyyy")),IF(($I218/12)=5,_xlfn.CONCAT(Constants!$N$5,TEXT(DATE(YEAR(H218)-(($I218/12)-1),MONTH(H218),DAY(H218)),"dd/mm/yyyy"),", ",Constants!$O$5,TEXT(DATE(YEAR(H218)-(($I218/12)-2),MONTH(H218),DAY(H218)),"dd/mm/yyyy"),", ",Constants!$P$5,TEXT(DATE(YEAR(H218)-(($I218/12)-3),MONTH(H218),DAY(H218)),"dd/mm/yyyy"),", ",Constants!$Q$5,TEXT(DATE(YEAR(H218)-(($I218/12)-4),MONTH(H218),DAY(H218)),"dd/mm/yyyy"),", ",Constants!$R$5,TEXT($H218,"dd/mm/yyyy")),IF(($I218/12)=3,_xlfn.CONCAT(Constants!$N$4,TEXT(DATE(YEAR(H218)-(($I218/12)-1),MONTH(H218),DAY(H218)),"dd/mm/yyyy"),", ",Constants!$O$4,TEXT(DATE(YEAR(H218)-(($I218/12)-2),MONTH(H218),DAY(H218)),"dd/mm/yyyy"),", ",Constants!$P$4,TEXT($H218,"dd/mm/yyyy")),IF(($I218/12)=2,_xlfn.CONCAT(Constants!$N$3,TEXT(DATE(YEAR(H218)-(($I218/12)-1),MONTH(H218),DAY(H218)),"dd/mm/yyyy"),", ",Constants!$O$3,TEXT($H218,"dd/mm/yyyy")),IF(($I218/12)=1,_xlfn.CONCAT(Constants!$N$2,TEXT($H218,"dd/mm/yyyy")),"Update Constants"))))))),"")</f>
        <v/>
      </c>
      <c r="BC218" s="147" t="str">
        <f>_xlfn.IFNA(VALUE(INDEX(Producer!$K:$K,MATCH($D218,Producer!$A:$A,0))),"")</f>
        <v/>
      </c>
      <c r="BD218" s="147" t="str">
        <f>_xlfn.IFNA(INDEX(Producer!$I:$I,MATCH($D218,Producer!$A:$A,0)),"")</f>
        <v/>
      </c>
      <c r="BE218" s="147" t="str">
        <f t="shared" si="92"/>
        <v/>
      </c>
      <c r="BF218" s="147"/>
      <c r="BG218" s="147"/>
      <c r="BH218" s="151" t="str">
        <f>_xlfn.IFNA(INDEX(Constants!$B:$B,MATCH(BC218,Constants!A:A,0)),"")</f>
        <v/>
      </c>
      <c r="BI218" s="147" t="str">
        <f>IF(LEFT(B218,15)="Limited Company",Constants!$D$16,IFERROR(_xlfn.IFNA(IF(C218="Residential",IF(BK218&lt;75,INDEX(Constants!$B:$B,MATCH(VALUE(60)/100,Constants!$A:$A,0)),INDEX(Constants!$B:$B,MATCH(VALUE(BK218)/100,Constants!$A:$A,0))),IF(BK218&lt;60,INDEX(Constants!$C:$C,MATCH(VALUE(60)/100,Constants!$A:$A,0)),INDEX(Constants!$C:$C,MATCH(VALUE(BK218)/100,Constants!$A:$A,0)))),""),""))</f>
        <v/>
      </c>
      <c r="BJ218" s="147" t="str">
        <f t="shared" si="93"/>
        <v/>
      </c>
      <c r="BK218" s="147" t="str">
        <f>_xlfn.IFNA(VALUE(INDEX(Producer!$E:$E,MATCH($D218,Producer!$A:$A,0)))*100,"")</f>
        <v/>
      </c>
      <c r="BL218" s="146" t="str">
        <f>_xlfn.IFNA(IF(IFERROR(FIND("Part &amp; Part",B218),-10)&gt;0,"PP",IF(OR(LEFT(B218,25)="Residential Interest Only",INDEX(Producer!$P:$P,MATCH($D218,Producer!$A:$A,0))="IO",INDEX(Producer!$P:$P,MATCH($D218,Producer!$A:$A,0))="Retirement Interest Only"),"IO",IF($C218="BuyToLet","CI, IO","CI"))),"")</f>
        <v/>
      </c>
      <c r="BM218" s="152" t="str">
        <f>_xlfn.IFNA(IF(BL218="IO",100%,IF(AND(INDEX(Producer!$P:$P,MATCH($D218,Producer!$A:$A,0))="Residential Interest Only Part &amp; Part",BK218=75),80%,IF(C218="BuyToLet",100%,IF(BL218="Interest Only",100%,IF(AND(INDEX(Producer!$P:$P,MATCH($D218,Producer!$A:$A,0))="Residential Interest Only Part &amp; Part",BK218=60),100%,""))))),"")</f>
        <v/>
      </c>
      <c r="BN218" s="218" t="str">
        <f>_xlfn.IFNA(IF(VALUE(INDEX(Producer!$H:$H,MATCH($D218,Producer!$A:$A,0)))=0,"",VALUE(INDEX(Producer!$H:$H,MATCH($D218,Producer!$A:$A,0)))),"")</f>
        <v/>
      </c>
      <c r="BO218" s="153"/>
      <c r="BP218" s="153"/>
      <c r="BQ218" s="219" t="str">
        <f t="shared" si="94"/>
        <v/>
      </c>
      <c r="BR218" s="146"/>
      <c r="BS218" s="146"/>
      <c r="BT218" s="146"/>
      <c r="BU218" s="146"/>
      <c r="BV218" s="219" t="str">
        <f t="shared" si="95"/>
        <v/>
      </c>
      <c r="BW218" s="146"/>
      <c r="BX218" s="146"/>
      <c r="BY218" s="146" t="str">
        <f t="shared" si="96"/>
        <v/>
      </c>
      <c r="BZ218" s="146" t="str">
        <f t="shared" si="97"/>
        <v/>
      </c>
      <c r="CA218" s="146" t="str">
        <f t="shared" si="98"/>
        <v/>
      </c>
      <c r="CB218" s="146" t="str">
        <f t="shared" si="99"/>
        <v/>
      </c>
      <c r="CC218" s="146" t="str">
        <f>_xlfn.IFNA(IF(INDEX(Producer!$P:$P,MATCH($D218,Producer!$A:$A,0))="Help to Buy","Only available","No"),"")</f>
        <v/>
      </c>
      <c r="CD218" s="146" t="str">
        <f>_xlfn.IFNA(IF(INDEX(Producer!$P:$P,MATCH($D218,Producer!$A:$A,0))="Shared Ownership","Only available","No"),"")</f>
        <v/>
      </c>
      <c r="CE218" s="146" t="str">
        <f>_xlfn.IFNA(IF(INDEX(Producer!$P:$P,MATCH($D218,Producer!$A:$A,0))="Right to Buy","Only available","No"),"")</f>
        <v/>
      </c>
      <c r="CF218" s="146" t="str">
        <f t="shared" si="100"/>
        <v/>
      </c>
      <c r="CG218" s="146" t="str">
        <f>_xlfn.IFNA(IF(INDEX(Producer!$P:$P,MATCH($D218,Producer!$A:$A,0))="Retirement Interest Only","Only available","No"),"")</f>
        <v/>
      </c>
      <c r="CH218" s="146" t="str">
        <f t="shared" si="101"/>
        <v/>
      </c>
      <c r="CI218" s="146" t="str">
        <f>_xlfn.IFNA(IF(INDEX(Producer!$P:$P,MATCH($D218,Producer!$A:$A,0))="Intermediary Holiday Let","Only available","No"),"")</f>
        <v/>
      </c>
      <c r="CJ218" s="146" t="str">
        <f t="shared" si="102"/>
        <v/>
      </c>
      <c r="CK218" s="146" t="str">
        <f>_xlfn.IFNA(IF(OR(INDEX(Producer!$P:$P,MATCH($D218,Producer!$A:$A,0))="Intermediary Small HMO",INDEX(Producer!$P:$P,MATCH($D218,Producer!$A:$A,0))="Intermediary Large HMO"),"Only available","No"),"")</f>
        <v/>
      </c>
      <c r="CL218" s="146" t="str">
        <f t="shared" si="103"/>
        <v/>
      </c>
      <c r="CM218" s="146" t="str">
        <f t="shared" si="104"/>
        <v/>
      </c>
      <c r="CN218" s="146" t="str">
        <f t="shared" si="105"/>
        <v/>
      </c>
      <c r="CO218" s="146" t="str">
        <f t="shared" si="106"/>
        <v/>
      </c>
      <c r="CP218" s="146" t="str">
        <f t="shared" si="107"/>
        <v/>
      </c>
      <c r="CQ218" s="146" t="str">
        <f t="shared" si="108"/>
        <v/>
      </c>
      <c r="CR218" s="146" t="str">
        <f t="shared" si="109"/>
        <v/>
      </c>
      <c r="CS218" s="146" t="str">
        <f t="shared" si="110"/>
        <v/>
      </c>
      <c r="CT218" s="146" t="str">
        <f t="shared" si="111"/>
        <v/>
      </c>
      <c r="CU218" s="146"/>
    </row>
    <row r="219" spans="1:99" ht="16.399999999999999" customHeight="1" x14ac:dyDescent="0.35">
      <c r="A219" s="145" t="str">
        <f t="shared" si="84"/>
        <v/>
      </c>
      <c r="B219" s="145" t="str">
        <f>_xlfn.IFNA(_xlfn.CONCAT(INDEX(Producer!$P:$P,MATCH($D219,Producer!$A:$A,0))," ",IF(INDEX(Producer!$N:$N,MATCH($D219,Producer!$A:$A,0))="Yes","Green ",""),IF(AND(INDEX(Producer!$L:$L,MATCH($D219,Producer!$A:$A,0))="No",INDEX(Producer!$C:$C,MATCH($D219,Producer!$A:$A,0))="Fixed"),"Flexit ",""),INDEX(Producer!$B:$B,MATCH($D219,Producer!$A:$A,0))," Year ",INDEX(Producer!$C:$C,MATCH($D219,Producer!$A:$A,0))," ",VALUE(INDEX(Producer!$E:$E,MATCH($D219,Producer!$A:$A,0)))*100,"% LTV",IF(INDEX(Producer!$N:$N,MATCH($D219,Producer!$A:$A,0))="Yes"," (EPC A-C)","")," - ",IF(INDEX(Producer!$D:$D,MATCH($D219,Producer!$A:$A,0))="DLY","Daily","Annual")),"")</f>
        <v/>
      </c>
      <c r="C219" s="146" t="str">
        <f>_xlfn.IFNA(INDEX(Producer!$Q:$Q,MATCH($D219,Producer!$A:$A,0)),"")</f>
        <v/>
      </c>
      <c r="D219" s="146" t="str">
        <f>IFERROR(VALUE(MID(Producer!$R$2,IF($D218="",1/0,FIND(_xlfn.CONCAT($D217,$D218),Producer!$R$2)+10),5)),"")</f>
        <v/>
      </c>
      <c r="E219" s="146" t="str">
        <f t="shared" si="85"/>
        <v/>
      </c>
      <c r="F219" s="146"/>
      <c r="G219" s="147" t="str">
        <f>_xlfn.IFNA(VALUE(INDEX(Producer!$F:$F,MATCH($D219,Producer!$A:$A,0)))*100,"")</f>
        <v/>
      </c>
      <c r="H219" s="216" t="str">
        <f>_xlfn.IFNA(IFERROR(DATEVALUE(INDEX(Producer!$M:$M,MATCH($D219,Producer!$A:$A,0))),(INDEX(Producer!$M:$M,MATCH($D219,Producer!$A:$A,0)))),"")</f>
        <v/>
      </c>
      <c r="I219" s="217" t="str">
        <f>_xlfn.IFNA(VALUE(INDEX(Producer!$B:$B,MATCH($D219,Producer!$A:$A,0)))*12,"")</f>
        <v/>
      </c>
      <c r="J219" s="146" t="str">
        <f>_xlfn.IFNA(IF(C219="Residential",IF(VALUE(INDEX(Producer!$B:$B,MATCH($D219,Producer!$A:$A,0)))&lt;5,Constants!$C$10,""),IF(VALUE(INDEX(Producer!$B:$B,MATCH($D219,Producer!$A:$A,0)))&lt;5,Constants!$C$11,"")),"")</f>
        <v/>
      </c>
      <c r="K219" s="216" t="str">
        <f>_xlfn.IFNA(IF(($I219)&lt;60,DATE(YEAR(H219)+(5-VALUE(INDEX(Producer!$B:$B,MATCH($D219,Producer!$A:$A,0)))),MONTH(H219),DAY(H219)),""),"")</f>
        <v/>
      </c>
      <c r="L219" s="153" t="str">
        <f t="shared" si="86"/>
        <v/>
      </c>
      <c r="M219" s="146"/>
      <c r="N219" s="148"/>
      <c r="O219" s="148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  <c r="AC219" s="146"/>
      <c r="AD219" s="146"/>
      <c r="AE219" s="146"/>
      <c r="AF219" s="146"/>
      <c r="AG219" s="146"/>
      <c r="AH219" s="146"/>
      <c r="AI219" s="146"/>
      <c r="AJ219" s="146"/>
      <c r="AK219" s="146" t="str">
        <f>IF(D219="","",IF(C219="Residential",Constants!$B$10,Constants!$B$11))</f>
        <v/>
      </c>
      <c r="AL219" s="146" t="str">
        <f t="shared" si="87"/>
        <v/>
      </c>
      <c r="AM219" s="206" t="str">
        <f t="shared" si="88"/>
        <v/>
      </c>
      <c r="AN219" s="146" t="str">
        <f t="shared" si="89"/>
        <v/>
      </c>
      <c r="AO219" s="149" t="str">
        <f t="shared" si="90"/>
        <v/>
      </c>
      <c r="AP219" s="150" t="str">
        <f t="shared" si="91"/>
        <v/>
      </c>
      <c r="AQ219" s="146" t="str">
        <f>IFERROR(_xlfn.IFNA(IF($BA219="No",0,IF(INDEX(Constants!B:B,MATCH(($I219/12),Constants!$A:$A,0))=0,0,INDEX(Constants!B:B,MATCH(($I219/12),Constants!$A:$A,0)))),0),"")</f>
        <v/>
      </c>
      <c r="AR219" s="146" t="str">
        <f>IFERROR(_xlfn.IFNA(IF($BA219="No",0,IF(INDEX(Constants!C:C,MATCH(($I219/12),Constants!$A:$A,0))=0,0,INDEX(Constants!C:C,MATCH(($I219/12),Constants!$A:$A,0)))),0),"")</f>
        <v/>
      </c>
      <c r="AS219" s="146" t="str">
        <f>IFERROR(_xlfn.IFNA(IF($BA219="No",0,IF(INDEX(Constants!D:D,MATCH(($I219/12),Constants!$A:$A,0))=0,0,INDEX(Constants!D:D,MATCH(($I219/12),Constants!$A:$A,0)))),0),"")</f>
        <v/>
      </c>
      <c r="AT219" s="146" t="str">
        <f>IFERROR(_xlfn.IFNA(IF($BA219="No",0,IF(INDEX(Constants!E:E,MATCH(($I219/12),Constants!$A:$A,0))=0,0,INDEX(Constants!E:E,MATCH(($I219/12),Constants!$A:$A,0)))),0),"")</f>
        <v/>
      </c>
      <c r="AU219" s="146" t="str">
        <f>IFERROR(_xlfn.IFNA(IF($BA219="No",0,IF(INDEX(Constants!F:F,MATCH(($I219/12),Constants!$A:$A,0))=0,0,INDEX(Constants!F:F,MATCH(($I219/12),Constants!$A:$A,0)))),0),"")</f>
        <v/>
      </c>
      <c r="AV219" s="146" t="str">
        <f>IFERROR(_xlfn.IFNA(IF($BA219="No",0,IF(INDEX(Constants!G:G,MATCH(($I219/12),Constants!$A:$A,0))=0,0,INDEX(Constants!G:G,MATCH(($I219/12),Constants!$A:$A,0)))),0),"")</f>
        <v/>
      </c>
      <c r="AW219" s="146" t="str">
        <f>IFERROR(_xlfn.IFNA(IF($BA219="No",0,IF(INDEX(Constants!H:H,MATCH(($I219/12),Constants!$A:$A,0))=0,0,INDEX(Constants!H:H,MATCH(($I219/12),Constants!$A:$A,0)))),0),"")</f>
        <v/>
      </c>
      <c r="AX219" s="146" t="str">
        <f>IFERROR(_xlfn.IFNA(IF($BA219="No",0,IF(INDEX(Constants!I:I,MATCH(($I219/12),Constants!$A:$A,0))=0,0,INDEX(Constants!I:I,MATCH(($I219/12),Constants!$A:$A,0)))),0),"")</f>
        <v/>
      </c>
      <c r="AY219" s="146" t="str">
        <f>IFERROR(_xlfn.IFNA(IF($BA219="No",0,IF(INDEX(Constants!J:J,MATCH(($I219/12),Constants!$A:$A,0))=0,0,INDEX(Constants!J:J,MATCH(($I219/12),Constants!$A:$A,0)))),0),"")</f>
        <v/>
      </c>
      <c r="AZ219" s="146" t="str">
        <f>IFERROR(_xlfn.IFNA(IF($BA219="No",0,IF(INDEX(Constants!K:K,MATCH(($I219/12),Constants!$A:$A,0))=0,0,INDEX(Constants!K:K,MATCH(($I219/12),Constants!$A:$A,0)))),0),"")</f>
        <v/>
      </c>
      <c r="BA219" s="147" t="str">
        <f>_xlfn.IFNA(INDEX(Producer!$L:$L,MATCH($D219,Producer!$A:$A,0)),"")</f>
        <v/>
      </c>
      <c r="BB219" s="146" t="str">
        <f>IFERROR(IF(AQ219=0,"",IF(($I219/12)=15,_xlfn.CONCAT(Constants!$N$7,TEXT(DATE(YEAR(H219)-(($I219/12)-3),MONTH(H219),DAY(H219)),"dd/mm/yyyy"),", ",Constants!$P$7,TEXT(DATE(YEAR(H219)-(($I219/12)-8),MONTH(H219),DAY(H219)),"dd/mm/yyyy"),", ",Constants!$T$7,TEXT(DATE(YEAR(H219)-(($I219/12)-11),MONTH(H219),DAY(H219)),"dd/mm/yyyy"),", ",Constants!$V$7,TEXT(DATE(YEAR(H219)-(($I219/12)-13),MONTH(H219),DAY(H219)),"dd/mm/yyyy"),", ",Constants!$W$7,TEXT($H219,"dd/mm/yyyy")),IF(($I219/12)=10,_xlfn.CONCAT(Constants!$N$6,TEXT(DATE(YEAR(H219)-(($I219/12)-2),MONTH(H219),DAY(H219)),"dd/mm/yyyy"),", ",Constants!$P$6,TEXT(DATE(YEAR(H219)-(($I219/12)-6),MONTH(H219),DAY(H219)),"dd/mm/yyyy"),", ",Constants!$T$6,TEXT(DATE(YEAR(H219)-(($I219/12)-8),MONTH(H219),DAY(H219)),"dd/mm/yyyy"),", ",Constants!$V$6,TEXT(DATE(YEAR(H219)-(($I219/12)-9),MONTH(H219),DAY(H219)),"dd/mm/yyyy"),", ",Constants!$W$6,TEXT($H219,"dd/mm/yyyy")),IF(($I219/12)=5,_xlfn.CONCAT(Constants!$N$5,TEXT(DATE(YEAR(H219)-(($I219/12)-1),MONTH(H219),DAY(H219)),"dd/mm/yyyy"),", ",Constants!$O$5,TEXT(DATE(YEAR(H219)-(($I219/12)-2),MONTH(H219),DAY(H219)),"dd/mm/yyyy"),", ",Constants!$P$5,TEXT(DATE(YEAR(H219)-(($I219/12)-3),MONTH(H219),DAY(H219)),"dd/mm/yyyy"),", ",Constants!$Q$5,TEXT(DATE(YEAR(H219)-(($I219/12)-4),MONTH(H219),DAY(H219)),"dd/mm/yyyy"),", ",Constants!$R$5,TEXT($H219,"dd/mm/yyyy")),IF(($I219/12)=3,_xlfn.CONCAT(Constants!$N$4,TEXT(DATE(YEAR(H219)-(($I219/12)-1),MONTH(H219),DAY(H219)),"dd/mm/yyyy"),", ",Constants!$O$4,TEXT(DATE(YEAR(H219)-(($I219/12)-2),MONTH(H219),DAY(H219)),"dd/mm/yyyy"),", ",Constants!$P$4,TEXT($H219,"dd/mm/yyyy")),IF(($I219/12)=2,_xlfn.CONCAT(Constants!$N$3,TEXT(DATE(YEAR(H219)-(($I219/12)-1),MONTH(H219),DAY(H219)),"dd/mm/yyyy"),", ",Constants!$O$3,TEXT($H219,"dd/mm/yyyy")),IF(($I219/12)=1,_xlfn.CONCAT(Constants!$N$2,TEXT($H219,"dd/mm/yyyy")),"Update Constants"))))))),"")</f>
        <v/>
      </c>
      <c r="BC219" s="147" t="str">
        <f>_xlfn.IFNA(VALUE(INDEX(Producer!$K:$K,MATCH($D219,Producer!$A:$A,0))),"")</f>
        <v/>
      </c>
      <c r="BD219" s="147" t="str">
        <f>_xlfn.IFNA(INDEX(Producer!$I:$I,MATCH($D219,Producer!$A:$A,0)),"")</f>
        <v/>
      </c>
      <c r="BE219" s="147" t="str">
        <f t="shared" si="92"/>
        <v/>
      </c>
      <c r="BF219" s="147"/>
      <c r="BG219" s="147"/>
      <c r="BH219" s="151" t="str">
        <f>_xlfn.IFNA(INDEX(Constants!$B:$B,MATCH(BC219,Constants!A:A,0)),"")</f>
        <v/>
      </c>
      <c r="BI219" s="147" t="str">
        <f>IF(LEFT(B219,15)="Limited Company",Constants!$D$16,IFERROR(_xlfn.IFNA(IF(C219="Residential",IF(BK219&lt;75,INDEX(Constants!$B:$B,MATCH(VALUE(60)/100,Constants!$A:$A,0)),INDEX(Constants!$B:$B,MATCH(VALUE(BK219)/100,Constants!$A:$A,0))),IF(BK219&lt;60,INDEX(Constants!$C:$C,MATCH(VALUE(60)/100,Constants!$A:$A,0)),INDEX(Constants!$C:$C,MATCH(VALUE(BK219)/100,Constants!$A:$A,0)))),""),""))</f>
        <v/>
      </c>
      <c r="BJ219" s="147" t="str">
        <f t="shared" si="93"/>
        <v/>
      </c>
      <c r="BK219" s="147" t="str">
        <f>_xlfn.IFNA(VALUE(INDEX(Producer!$E:$E,MATCH($D219,Producer!$A:$A,0)))*100,"")</f>
        <v/>
      </c>
      <c r="BL219" s="146" t="str">
        <f>_xlfn.IFNA(IF(IFERROR(FIND("Part &amp; Part",B219),-10)&gt;0,"PP",IF(OR(LEFT(B219,25)="Residential Interest Only",INDEX(Producer!$P:$P,MATCH($D219,Producer!$A:$A,0))="IO",INDEX(Producer!$P:$P,MATCH($D219,Producer!$A:$A,0))="Retirement Interest Only"),"IO",IF($C219="BuyToLet","CI, IO","CI"))),"")</f>
        <v/>
      </c>
      <c r="BM219" s="152" t="str">
        <f>_xlfn.IFNA(IF(BL219="IO",100%,IF(AND(INDEX(Producer!$P:$P,MATCH($D219,Producer!$A:$A,0))="Residential Interest Only Part &amp; Part",BK219=75),80%,IF(C219="BuyToLet",100%,IF(BL219="Interest Only",100%,IF(AND(INDEX(Producer!$P:$P,MATCH($D219,Producer!$A:$A,0))="Residential Interest Only Part &amp; Part",BK219=60),100%,""))))),"")</f>
        <v/>
      </c>
      <c r="BN219" s="218" t="str">
        <f>_xlfn.IFNA(IF(VALUE(INDEX(Producer!$H:$H,MATCH($D219,Producer!$A:$A,0)))=0,"",VALUE(INDEX(Producer!$H:$H,MATCH($D219,Producer!$A:$A,0)))),"")</f>
        <v/>
      </c>
      <c r="BO219" s="153"/>
      <c r="BP219" s="153"/>
      <c r="BQ219" s="219" t="str">
        <f t="shared" si="94"/>
        <v/>
      </c>
      <c r="BR219" s="146"/>
      <c r="BS219" s="146"/>
      <c r="BT219" s="146"/>
      <c r="BU219" s="146"/>
      <c r="BV219" s="219" t="str">
        <f t="shared" si="95"/>
        <v/>
      </c>
      <c r="BW219" s="146"/>
      <c r="BX219" s="146"/>
      <c r="BY219" s="146" t="str">
        <f t="shared" si="96"/>
        <v/>
      </c>
      <c r="BZ219" s="146" t="str">
        <f t="shared" si="97"/>
        <v/>
      </c>
      <c r="CA219" s="146" t="str">
        <f t="shared" si="98"/>
        <v/>
      </c>
      <c r="CB219" s="146" t="str">
        <f t="shared" si="99"/>
        <v/>
      </c>
      <c r="CC219" s="146" t="str">
        <f>_xlfn.IFNA(IF(INDEX(Producer!$P:$P,MATCH($D219,Producer!$A:$A,0))="Help to Buy","Only available","No"),"")</f>
        <v/>
      </c>
      <c r="CD219" s="146" t="str">
        <f>_xlfn.IFNA(IF(INDEX(Producer!$P:$P,MATCH($D219,Producer!$A:$A,0))="Shared Ownership","Only available","No"),"")</f>
        <v/>
      </c>
      <c r="CE219" s="146" t="str">
        <f>_xlfn.IFNA(IF(INDEX(Producer!$P:$P,MATCH($D219,Producer!$A:$A,0))="Right to Buy","Only available","No"),"")</f>
        <v/>
      </c>
      <c r="CF219" s="146" t="str">
        <f t="shared" si="100"/>
        <v/>
      </c>
      <c r="CG219" s="146" t="str">
        <f>_xlfn.IFNA(IF(INDEX(Producer!$P:$P,MATCH($D219,Producer!$A:$A,0))="Retirement Interest Only","Only available","No"),"")</f>
        <v/>
      </c>
      <c r="CH219" s="146" t="str">
        <f t="shared" si="101"/>
        <v/>
      </c>
      <c r="CI219" s="146" t="str">
        <f>_xlfn.IFNA(IF(INDEX(Producer!$P:$P,MATCH($D219,Producer!$A:$A,0))="Intermediary Holiday Let","Only available","No"),"")</f>
        <v/>
      </c>
      <c r="CJ219" s="146" t="str">
        <f t="shared" si="102"/>
        <v/>
      </c>
      <c r="CK219" s="146" t="str">
        <f>_xlfn.IFNA(IF(OR(INDEX(Producer!$P:$P,MATCH($D219,Producer!$A:$A,0))="Intermediary Small HMO",INDEX(Producer!$P:$P,MATCH($D219,Producer!$A:$A,0))="Intermediary Large HMO"),"Only available","No"),"")</f>
        <v/>
      </c>
      <c r="CL219" s="146" t="str">
        <f t="shared" si="103"/>
        <v/>
      </c>
      <c r="CM219" s="146" t="str">
        <f t="shared" si="104"/>
        <v/>
      </c>
      <c r="CN219" s="146" t="str">
        <f t="shared" si="105"/>
        <v/>
      </c>
      <c r="CO219" s="146" t="str">
        <f t="shared" si="106"/>
        <v/>
      </c>
      <c r="CP219" s="146" t="str">
        <f t="shared" si="107"/>
        <v/>
      </c>
      <c r="CQ219" s="146" t="str">
        <f t="shared" si="108"/>
        <v/>
      </c>
      <c r="CR219" s="146" t="str">
        <f t="shared" si="109"/>
        <v/>
      </c>
      <c r="CS219" s="146" t="str">
        <f t="shared" si="110"/>
        <v/>
      </c>
      <c r="CT219" s="146" t="str">
        <f t="shared" si="111"/>
        <v/>
      </c>
      <c r="CU219" s="146"/>
    </row>
    <row r="220" spans="1:99" ht="16.399999999999999" customHeight="1" x14ac:dyDescent="0.35">
      <c r="A220" s="145" t="str">
        <f t="shared" si="84"/>
        <v/>
      </c>
      <c r="B220" s="145" t="str">
        <f>_xlfn.IFNA(_xlfn.CONCAT(INDEX(Producer!$P:$P,MATCH($D220,Producer!$A:$A,0))," ",IF(INDEX(Producer!$N:$N,MATCH($D220,Producer!$A:$A,0))="Yes","Green ",""),IF(AND(INDEX(Producer!$L:$L,MATCH($D220,Producer!$A:$A,0))="No",INDEX(Producer!$C:$C,MATCH($D220,Producer!$A:$A,0))="Fixed"),"Flexit ",""),INDEX(Producer!$B:$B,MATCH($D220,Producer!$A:$A,0))," Year ",INDEX(Producer!$C:$C,MATCH($D220,Producer!$A:$A,0))," ",VALUE(INDEX(Producer!$E:$E,MATCH($D220,Producer!$A:$A,0)))*100,"% LTV",IF(INDEX(Producer!$N:$N,MATCH($D220,Producer!$A:$A,0))="Yes"," (EPC A-C)","")," - ",IF(INDEX(Producer!$D:$D,MATCH($D220,Producer!$A:$A,0))="DLY","Daily","Annual")),"")</f>
        <v/>
      </c>
      <c r="C220" s="146" t="str">
        <f>_xlfn.IFNA(INDEX(Producer!$Q:$Q,MATCH($D220,Producer!$A:$A,0)),"")</f>
        <v/>
      </c>
      <c r="D220" s="146" t="str">
        <f>IFERROR(VALUE(MID(Producer!$R$2,IF($D219="",1/0,FIND(_xlfn.CONCAT($D218,$D219),Producer!$R$2)+10),5)),"")</f>
        <v/>
      </c>
      <c r="E220" s="146" t="str">
        <f t="shared" si="85"/>
        <v/>
      </c>
      <c r="F220" s="146"/>
      <c r="G220" s="147" t="str">
        <f>_xlfn.IFNA(VALUE(INDEX(Producer!$F:$F,MATCH($D220,Producer!$A:$A,0)))*100,"")</f>
        <v/>
      </c>
      <c r="H220" s="216" t="str">
        <f>_xlfn.IFNA(IFERROR(DATEVALUE(INDEX(Producer!$M:$M,MATCH($D220,Producer!$A:$A,0))),(INDEX(Producer!$M:$M,MATCH($D220,Producer!$A:$A,0)))),"")</f>
        <v/>
      </c>
      <c r="I220" s="217" t="str">
        <f>_xlfn.IFNA(VALUE(INDEX(Producer!$B:$B,MATCH($D220,Producer!$A:$A,0)))*12,"")</f>
        <v/>
      </c>
      <c r="J220" s="146" t="str">
        <f>_xlfn.IFNA(IF(C220="Residential",IF(VALUE(INDEX(Producer!$B:$B,MATCH($D220,Producer!$A:$A,0)))&lt;5,Constants!$C$10,""),IF(VALUE(INDEX(Producer!$B:$B,MATCH($D220,Producer!$A:$A,0)))&lt;5,Constants!$C$11,"")),"")</f>
        <v/>
      </c>
      <c r="K220" s="216" t="str">
        <f>_xlfn.IFNA(IF(($I220)&lt;60,DATE(YEAR(H220)+(5-VALUE(INDEX(Producer!$B:$B,MATCH($D220,Producer!$A:$A,0)))),MONTH(H220),DAY(H220)),""),"")</f>
        <v/>
      </c>
      <c r="L220" s="153" t="str">
        <f t="shared" si="86"/>
        <v/>
      </c>
      <c r="M220" s="146"/>
      <c r="N220" s="148"/>
      <c r="O220" s="148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46"/>
      <c r="AD220" s="146"/>
      <c r="AE220" s="146"/>
      <c r="AF220" s="146"/>
      <c r="AG220" s="146"/>
      <c r="AH220" s="146"/>
      <c r="AI220" s="146"/>
      <c r="AJ220" s="146"/>
      <c r="AK220" s="146" t="str">
        <f>IF(D220="","",IF(C220="Residential",Constants!$B$10,Constants!$B$11))</f>
        <v/>
      </c>
      <c r="AL220" s="146" t="str">
        <f t="shared" si="87"/>
        <v/>
      </c>
      <c r="AM220" s="206" t="str">
        <f t="shared" si="88"/>
        <v/>
      </c>
      <c r="AN220" s="146" t="str">
        <f t="shared" si="89"/>
        <v/>
      </c>
      <c r="AO220" s="149" t="str">
        <f t="shared" si="90"/>
        <v/>
      </c>
      <c r="AP220" s="150" t="str">
        <f t="shared" si="91"/>
        <v/>
      </c>
      <c r="AQ220" s="146" t="str">
        <f>IFERROR(_xlfn.IFNA(IF($BA220="No",0,IF(INDEX(Constants!B:B,MATCH(($I220/12),Constants!$A:$A,0))=0,0,INDEX(Constants!B:B,MATCH(($I220/12),Constants!$A:$A,0)))),0),"")</f>
        <v/>
      </c>
      <c r="AR220" s="146" t="str">
        <f>IFERROR(_xlfn.IFNA(IF($BA220="No",0,IF(INDEX(Constants!C:C,MATCH(($I220/12),Constants!$A:$A,0))=0,0,INDEX(Constants!C:C,MATCH(($I220/12),Constants!$A:$A,0)))),0),"")</f>
        <v/>
      </c>
      <c r="AS220" s="146" t="str">
        <f>IFERROR(_xlfn.IFNA(IF($BA220="No",0,IF(INDEX(Constants!D:D,MATCH(($I220/12),Constants!$A:$A,0))=0,0,INDEX(Constants!D:D,MATCH(($I220/12),Constants!$A:$A,0)))),0),"")</f>
        <v/>
      </c>
      <c r="AT220" s="146" t="str">
        <f>IFERROR(_xlfn.IFNA(IF($BA220="No",0,IF(INDEX(Constants!E:E,MATCH(($I220/12),Constants!$A:$A,0))=0,0,INDEX(Constants!E:E,MATCH(($I220/12),Constants!$A:$A,0)))),0),"")</f>
        <v/>
      </c>
      <c r="AU220" s="146" t="str">
        <f>IFERROR(_xlfn.IFNA(IF($BA220="No",0,IF(INDEX(Constants!F:F,MATCH(($I220/12),Constants!$A:$A,0))=0,0,INDEX(Constants!F:F,MATCH(($I220/12),Constants!$A:$A,0)))),0),"")</f>
        <v/>
      </c>
      <c r="AV220" s="146" t="str">
        <f>IFERROR(_xlfn.IFNA(IF($BA220="No",0,IF(INDEX(Constants!G:G,MATCH(($I220/12),Constants!$A:$A,0))=0,0,INDEX(Constants!G:G,MATCH(($I220/12),Constants!$A:$A,0)))),0),"")</f>
        <v/>
      </c>
      <c r="AW220" s="146" t="str">
        <f>IFERROR(_xlfn.IFNA(IF($BA220="No",0,IF(INDEX(Constants!H:H,MATCH(($I220/12),Constants!$A:$A,0))=0,0,INDEX(Constants!H:H,MATCH(($I220/12),Constants!$A:$A,0)))),0),"")</f>
        <v/>
      </c>
      <c r="AX220" s="146" t="str">
        <f>IFERROR(_xlfn.IFNA(IF($BA220="No",0,IF(INDEX(Constants!I:I,MATCH(($I220/12),Constants!$A:$A,0))=0,0,INDEX(Constants!I:I,MATCH(($I220/12),Constants!$A:$A,0)))),0),"")</f>
        <v/>
      </c>
      <c r="AY220" s="146" t="str">
        <f>IFERROR(_xlfn.IFNA(IF($BA220="No",0,IF(INDEX(Constants!J:J,MATCH(($I220/12),Constants!$A:$A,0))=0,0,INDEX(Constants!J:J,MATCH(($I220/12),Constants!$A:$A,0)))),0),"")</f>
        <v/>
      </c>
      <c r="AZ220" s="146" t="str">
        <f>IFERROR(_xlfn.IFNA(IF($BA220="No",0,IF(INDEX(Constants!K:K,MATCH(($I220/12),Constants!$A:$A,0))=0,0,INDEX(Constants!K:K,MATCH(($I220/12),Constants!$A:$A,0)))),0),"")</f>
        <v/>
      </c>
      <c r="BA220" s="147" t="str">
        <f>_xlfn.IFNA(INDEX(Producer!$L:$L,MATCH($D220,Producer!$A:$A,0)),"")</f>
        <v/>
      </c>
      <c r="BB220" s="146" t="str">
        <f>IFERROR(IF(AQ220=0,"",IF(($I220/12)=15,_xlfn.CONCAT(Constants!$N$7,TEXT(DATE(YEAR(H220)-(($I220/12)-3),MONTH(H220),DAY(H220)),"dd/mm/yyyy"),", ",Constants!$P$7,TEXT(DATE(YEAR(H220)-(($I220/12)-8),MONTH(H220),DAY(H220)),"dd/mm/yyyy"),", ",Constants!$T$7,TEXT(DATE(YEAR(H220)-(($I220/12)-11),MONTH(H220),DAY(H220)),"dd/mm/yyyy"),", ",Constants!$V$7,TEXT(DATE(YEAR(H220)-(($I220/12)-13),MONTH(H220),DAY(H220)),"dd/mm/yyyy"),", ",Constants!$W$7,TEXT($H220,"dd/mm/yyyy")),IF(($I220/12)=10,_xlfn.CONCAT(Constants!$N$6,TEXT(DATE(YEAR(H220)-(($I220/12)-2),MONTH(H220),DAY(H220)),"dd/mm/yyyy"),", ",Constants!$P$6,TEXT(DATE(YEAR(H220)-(($I220/12)-6),MONTH(H220),DAY(H220)),"dd/mm/yyyy"),", ",Constants!$T$6,TEXT(DATE(YEAR(H220)-(($I220/12)-8),MONTH(H220),DAY(H220)),"dd/mm/yyyy"),", ",Constants!$V$6,TEXT(DATE(YEAR(H220)-(($I220/12)-9),MONTH(H220),DAY(H220)),"dd/mm/yyyy"),", ",Constants!$W$6,TEXT($H220,"dd/mm/yyyy")),IF(($I220/12)=5,_xlfn.CONCAT(Constants!$N$5,TEXT(DATE(YEAR(H220)-(($I220/12)-1),MONTH(H220),DAY(H220)),"dd/mm/yyyy"),", ",Constants!$O$5,TEXT(DATE(YEAR(H220)-(($I220/12)-2),MONTH(H220),DAY(H220)),"dd/mm/yyyy"),", ",Constants!$P$5,TEXT(DATE(YEAR(H220)-(($I220/12)-3),MONTH(H220),DAY(H220)),"dd/mm/yyyy"),", ",Constants!$Q$5,TEXT(DATE(YEAR(H220)-(($I220/12)-4),MONTH(H220),DAY(H220)),"dd/mm/yyyy"),", ",Constants!$R$5,TEXT($H220,"dd/mm/yyyy")),IF(($I220/12)=3,_xlfn.CONCAT(Constants!$N$4,TEXT(DATE(YEAR(H220)-(($I220/12)-1),MONTH(H220),DAY(H220)),"dd/mm/yyyy"),", ",Constants!$O$4,TEXT(DATE(YEAR(H220)-(($I220/12)-2),MONTH(H220),DAY(H220)),"dd/mm/yyyy"),", ",Constants!$P$4,TEXT($H220,"dd/mm/yyyy")),IF(($I220/12)=2,_xlfn.CONCAT(Constants!$N$3,TEXT(DATE(YEAR(H220)-(($I220/12)-1),MONTH(H220),DAY(H220)),"dd/mm/yyyy"),", ",Constants!$O$3,TEXT($H220,"dd/mm/yyyy")),IF(($I220/12)=1,_xlfn.CONCAT(Constants!$N$2,TEXT($H220,"dd/mm/yyyy")),"Update Constants"))))))),"")</f>
        <v/>
      </c>
      <c r="BC220" s="147" t="str">
        <f>_xlfn.IFNA(VALUE(INDEX(Producer!$K:$K,MATCH($D220,Producer!$A:$A,0))),"")</f>
        <v/>
      </c>
      <c r="BD220" s="147" t="str">
        <f>_xlfn.IFNA(INDEX(Producer!$I:$I,MATCH($D220,Producer!$A:$A,0)),"")</f>
        <v/>
      </c>
      <c r="BE220" s="147" t="str">
        <f t="shared" si="92"/>
        <v/>
      </c>
      <c r="BF220" s="147"/>
      <c r="BG220" s="147"/>
      <c r="BH220" s="151" t="str">
        <f>_xlfn.IFNA(INDEX(Constants!$B:$B,MATCH(BC220,Constants!A:A,0)),"")</f>
        <v/>
      </c>
      <c r="BI220" s="147" t="str">
        <f>IF(LEFT(B220,15)="Limited Company",Constants!$D$16,IFERROR(_xlfn.IFNA(IF(C220="Residential",IF(BK220&lt;75,INDEX(Constants!$B:$B,MATCH(VALUE(60)/100,Constants!$A:$A,0)),INDEX(Constants!$B:$B,MATCH(VALUE(BK220)/100,Constants!$A:$A,0))),IF(BK220&lt;60,INDEX(Constants!$C:$C,MATCH(VALUE(60)/100,Constants!$A:$A,0)),INDEX(Constants!$C:$C,MATCH(VALUE(BK220)/100,Constants!$A:$A,0)))),""),""))</f>
        <v/>
      </c>
      <c r="BJ220" s="147" t="str">
        <f t="shared" si="93"/>
        <v/>
      </c>
      <c r="BK220" s="147" t="str">
        <f>_xlfn.IFNA(VALUE(INDEX(Producer!$E:$E,MATCH($D220,Producer!$A:$A,0)))*100,"")</f>
        <v/>
      </c>
      <c r="BL220" s="146" t="str">
        <f>_xlfn.IFNA(IF(IFERROR(FIND("Part &amp; Part",B220),-10)&gt;0,"PP",IF(OR(LEFT(B220,25)="Residential Interest Only",INDEX(Producer!$P:$P,MATCH($D220,Producer!$A:$A,0))="IO",INDEX(Producer!$P:$P,MATCH($D220,Producer!$A:$A,0))="Retirement Interest Only"),"IO",IF($C220="BuyToLet","CI, IO","CI"))),"")</f>
        <v/>
      </c>
      <c r="BM220" s="152" t="str">
        <f>_xlfn.IFNA(IF(BL220="IO",100%,IF(AND(INDEX(Producer!$P:$P,MATCH($D220,Producer!$A:$A,0))="Residential Interest Only Part &amp; Part",BK220=75),80%,IF(C220="BuyToLet",100%,IF(BL220="Interest Only",100%,IF(AND(INDEX(Producer!$P:$P,MATCH($D220,Producer!$A:$A,0))="Residential Interest Only Part &amp; Part",BK220=60),100%,""))))),"")</f>
        <v/>
      </c>
      <c r="BN220" s="218" t="str">
        <f>_xlfn.IFNA(IF(VALUE(INDEX(Producer!$H:$H,MATCH($D220,Producer!$A:$A,0)))=0,"",VALUE(INDEX(Producer!$H:$H,MATCH($D220,Producer!$A:$A,0)))),"")</f>
        <v/>
      </c>
      <c r="BO220" s="153"/>
      <c r="BP220" s="153"/>
      <c r="BQ220" s="219" t="str">
        <f t="shared" si="94"/>
        <v/>
      </c>
      <c r="BR220" s="146"/>
      <c r="BS220" s="146"/>
      <c r="BT220" s="146"/>
      <c r="BU220" s="146"/>
      <c r="BV220" s="219" t="str">
        <f t="shared" si="95"/>
        <v/>
      </c>
      <c r="BW220" s="146"/>
      <c r="BX220" s="146"/>
      <c r="BY220" s="146" t="str">
        <f t="shared" si="96"/>
        <v/>
      </c>
      <c r="BZ220" s="146" t="str">
        <f t="shared" si="97"/>
        <v/>
      </c>
      <c r="CA220" s="146" t="str">
        <f t="shared" si="98"/>
        <v/>
      </c>
      <c r="CB220" s="146" t="str">
        <f t="shared" si="99"/>
        <v/>
      </c>
      <c r="CC220" s="146" t="str">
        <f>_xlfn.IFNA(IF(INDEX(Producer!$P:$P,MATCH($D220,Producer!$A:$A,0))="Help to Buy","Only available","No"),"")</f>
        <v/>
      </c>
      <c r="CD220" s="146" t="str">
        <f>_xlfn.IFNA(IF(INDEX(Producer!$P:$P,MATCH($D220,Producer!$A:$A,0))="Shared Ownership","Only available","No"),"")</f>
        <v/>
      </c>
      <c r="CE220" s="146" t="str">
        <f>_xlfn.IFNA(IF(INDEX(Producer!$P:$P,MATCH($D220,Producer!$A:$A,0))="Right to Buy","Only available","No"),"")</f>
        <v/>
      </c>
      <c r="CF220" s="146" t="str">
        <f t="shared" si="100"/>
        <v/>
      </c>
      <c r="CG220" s="146" t="str">
        <f>_xlfn.IFNA(IF(INDEX(Producer!$P:$P,MATCH($D220,Producer!$A:$A,0))="Retirement Interest Only","Only available","No"),"")</f>
        <v/>
      </c>
      <c r="CH220" s="146" t="str">
        <f t="shared" si="101"/>
        <v/>
      </c>
      <c r="CI220" s="146" t="str">
        <f>_xlfn.IFNA(IF(INDEX(Producer!$P:$P,MATCH($D220,Producer!$A:$A,0))="Intermediary Holiday Let","Only available","No"),"")</f>
        <v/>
      </c>
      <c r="CJ220" s="146" t="str">
        <f t="shared" si="102"/>
        <v/>
      </c>
      <c r="CK220" s="146" t="str">
        <f>_xlfn.IFNA(IF(OR(INDEX(Producer!$P:$P,MATCH($D220,Producer!$A:$A,0))="Intermediary Small HMO",INDEX(Producer!$P:$P,MATCH($D220,Producer!$A:$A,0))="Intermediary Large HMO"),"Only available","No"),"")</f>
        <v/>
      </c>
      <c r="CL220" s="146" t="str">
        <f t="shared" si="103"/>
        <v/>
      </c>
      <c r="CM220" s="146" t="str">
        <f t="shared" si="104"/>
        <v/>
      </c>
      <c r="CN220" s="146" t="str">
        <f t="shared" si="105"/>
        <v/>
      </c>
      <c r="CO220" s="146" t="str">
        <f t="shared" si="106"/>
        <v/>
      </c>
      <c r="CP220" s="146" t="str">
        <f t="shared" si="107"/>
        <v/>
      </c>
      <c r="CQ220" s="146" t="str">
        <f t="shared" si="108"/>
        <v/>
      </c>
      <c r="CR220" s="146" t="str">
        <f t="shared" si="109"/>
        <v/>
      </c>
      <c r="CS220" s="146" t="str">
        <f t="shared" si="110"/>
        <v/>
      </c>
      <c r="CT220" s="146" t="str">
        <f t="shared" si="111"/>
        <v/>
      </c>
      <c r="CU220" s="146"/>
    </row>
    <row r="221" spans="1:99" ht="16.399999999999999" customHeight="1" x14ac:dyDescent="0.35">
      <c r="A221" s="145" t="str">
        <f t="shared" si="84"/>
        <v/>
      </c>
      <c r="B221" s="145" t="str">
        <f>_xlfn.IFNA(_xlfn.CONCAT(INDEX(Producer!$P:$P,MATCH($D221,Producer!$A:$A,0))," ",IF(INDEX(Producer!$N:$N,MATCH($D221,Producer!$A:$A,0))="Yes","Green ",""),IF(AND(INDEX(Producer!$L:$L,MATCH($D221,Producer!$A:$A,0))="No",INDEX(Producer!$C:$C,MATCH($D221,Producer!$A:$A,0))="Fixed"),"Flexit ",""),INDEX(Producer!$B:$B,MATCH($D221,Producer!$A:$A,0))," Year ",INDEX(Producer!$C:$C,MATCH($D221,Producer!$A:$A,0))," ",VALUE(INDEX(Producer!$E:$E,MATCH($D221,Producer!$A:$A,0)))*100,"% LTV",IF(INDEX(Producer!$N:$N,MATCH($D221,Producer!$A:$A,0))="Yes"," (EPC A-C)","")," - ",IF(INDEX(Producer!$D:$D,MATCH($D221,Producer!$A:$A,0))="DLY","Daily","Annual")),"")</f>
        <v/>
      </c>
      <c r="C221" s="146" t="str">
        <f>_xlfn.IFNA(INDEX(Producer!$Q:$Q,MATCH($D221,Producer!$A:$A,0)),"")</f>
        <v/>
      </c>
      <c r="D221" s="146" t="str">
        <f>IFERROR(VALUE(MID(Producer!$R$2,IF($D220="",1/0,FIND(_xlfn.CONCAT($D219,$D220),Producer!$R$2)+10),5)),"")</f>
        <v/>
      </c>
      <c r="E221" s="146" t="str">
        <f t="shared" si="85"/>
        <v/>
      </c>
      <c r="F221" s="146"/>
      <c r="G221" s="147" t="str">
        <f>_xlfn.IFNA(VALUE(INDEX(Producer!$F:$F,MATCH($D221,Producer!$A:$A,0)))*100,"")</f>
        <v/>
      </c>
      <c r="H221" s="216" t="str">
        <f>_xlfn.IFNA(IFERROR(DATEVALUE(INDEX(Producer!$M:$M,MATCH($D221,Producer!$A:$A,0))),(INDEX(Producer!$M:$M,MATCH($D221,Producer!$A:$A,0)))),"")</f>
        <v/>
      </c>
      <c r="I221" s="217" t="str">
        <f>_xlfn.IFNA(VALUE(INDEX(Producer!$B:$B,MATCH($D221,Producer!$A:$A,0)))*12,"")</f>
        <v/>
      </c>
      <c r="J221" s="146" t="str">
        <f>_xlfn.IFNA(IF(C221="Residential",IF(VALUE(INDEX(Producer!$B:$B,MATCH($D221,Producer!$A:$A,0)))&lt;5,Constants!$C$10,""),IF(VALUE(INDEX(Producer!$B:$B,MATCH($D221,Producer!$A:$A,0)))&lt;5,Constants!$C$11,"")),"")</f>
        <v/>
      </c>
      <c r="K221" s="216" t="str">
        <f>_xlfn.IFNA(IF(($I221)&lt;60,DATE(YEAR(H221)+(5-VALUE(INDEX(Producer!$B:$B,MATCH($D221,Producer!$A:$A,0)))),MONTH(H221),DAY(H221)),""),"")</f>
        <v/>
      </c>
      <c r="L221" s="153" t="str">
        <f t="shared" si="86"/>
        <v/>
      </c>
      <c r="M221" s="146"/>
      <c r="N221" s="148"/>
      <c r="O221" s="148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6"/>
      <c r="AK221" s="146" t="str">
        <f>IF(D221="","",IF(C221="Residential",Constants!$B$10,Constants!$B$11))</f>
        <v/>
      </c>
      <c r="AL221" s="146" t="str">
        <f t="shared" si="87"/>
        <v/>
      </c>
      <c r="AM221" s="206" t="str">
        <f t="shared" si="88"/>
        <v/>
      </c>
      <c r="AN221" s="146" t="str">
        <f t="shared" si="89"/>
        <v/>
      </c>
      <c r="AO221" s="149" t="str">
        <f t="shared" si="90"/>
        <v/>
      </c>
      <c r="AP221" s="150" t="str">
        <f t="shared" si="91"/>
        <v/>
      </c>
      <c r="AQ221" s="146" t="str">
        <f>IFERROR(_xlfn.IFNA(IF($BA221="No",0,IF(INDEX(Constants!B:B,MATCH(($I221/12),Constants!$A:$A,0))=0,0,INDEX(Constants!B:B,MATCH(($I221/12),Constants!$A:$A,0)))),0),"")</f>
        <v/>
      </c>
      <c r="AR221" s="146" t="str">
        <f>IFERROR(_xlfn.IFNA(IF($BA221="No",0,IF(INDEX(Constants!C:C,MATCH(($I221/12),Constants!$A:$A,0))=0,0,INDEX(Constants!C:C,MATCH(($I221/12),Constants!$A:$A,0)))),0),"")</f>
        <v/>
      </c>
      <c r="AS221" s="146" t="str">
        <f>IFERROR(_xlfn.IFNA(IF($BA221="No",0,IF(INDEX(Constants!D:D,MATCH(($I221/12),Constants!$A:$A,0))=0,0,INDEX(Constants!D:D,MATCH(($I221/12),Constants!$A:$A,0)))),0),"")</f>
        <v/>
      </c>
      <c r="AT221" s="146" t="str">
        <f>IFERROR(_xlfn.IFNA(IF($BA221="No",0,IF(INDEX(Constants!E:E,MATCH(($I221/12),Constants!$A:$A,0))=0,0,INDEX(Constants!E:E,MATCH(($I221/12),Constants!$A:$A,0)))),0),"")</f>
        <v/>
      </c>
      <c r="AU221" s="146" t="str">
        <f>IFERROR(_xlfn.IFNA(IF($BA221="No",0,IF(INDEX(Constants!F:F,MATCH(($I221/12),Constants!$A:$A,0))=0,0,INDEX(Constants!F:F,MATCH(($I221/12),Constants!$A:$A,0)))),0),"")</f>
        <v/>
      </c>
      <c r="AV221" s="146" t="str">
        <f>IFERROR(_xlfn.IFNA(IF($BA221="No",0,IF(INDEX(Constants!G:G,MATCH(($I221/12),Constants!$A:$A,0))=0,0,INDEX(Constants!G:G,MATCH(($I221/12),Constants!$A:$A,0)))),0),"")</f>
        <v/>
      </c>
      <c r="AW221" s="146" t="str">
        <f>IFERROR(_xlfn.IFNA(IF($BA221="No",0,IF(INDEX(Constants!H:H,MATCH(($I221/12),Constants!$A:$A,0))=0,0,INDEX(Constants!H:H,MATCH(($I221/12),Constants!$A:$A,0)))),0),"")</f>
        <v/>
      </c>
      <c r="AX221" s="146" t="str">
        <f>IFERROR(_xlfn.IFNA(IF($BA221="No",0,IF(INDEX(Constants!I:I,MATCH(($I221/12),Constants!$A:$A,0))=0,0,INDEX(Constants!I:I,MATCH(($I221/12),Constants!$A:$A,0)))),0),"")</f>
        <v/>
      </c>
      <c r="AY221" s="146" t="str">
        <f>IFERROR(_xlfn.IFNA(IF($BA221="No",0,IF(INDEX(Constants!J:J,MATCH(($I221/12),Constants!$A:$A,0))=0,0,INDEX(Constants!J:J,MATCH(($I221/12),Constants!$A:$A,0)))),0),"")</f>
        <v/>
      </c>
      <c r="AZ221" s="146" t="str">
        <f>IFERROR(_xlfn.IFNA(IF($BA221="No",0,IF(INDEX(Constants!K:K,MATCH(($I221/12),Constants!$A:$A,0))=0,0,INDEX(Constants!K:K,MATCH(($I221/12),Constants!$A:$A,0)))),0),"")</f>
        <v/>
      </c>
      <c r="BA221" s="147" t="str">
        <f>_xlfn.IFNA(INDEX(Producer!$L:$L,MATCH($D221,Producer!$A:$A,0)),"")</f>
        <v/>
      </c>
      <c r="BB221" s="146" t="str">
        <f>IFERROR(IF(AQ221=0,"",IF(($I221/12)=15,_xlfn.CONCAT(Constants!$N$7,TEXT(DATE(YEAR(H221)-(($I221/12)-3),MONTH(H221),DAY(H221)),"dd/mm/yyyy"),", ",Constants!$P$7,TEXT(DATE(YEAR(H221)-(($I221/12)-8),MONTH(H221),DAY(H221)),"dd/mm/yyyy"),", ",Constants!$T$7,TEXT(DATE(YEAR(H221)-(($I221/12)-11),MONTH(H221),DAY(H221)),"dd/mm/yyyy"),", ",Constants!$V$7,TEXT(DATE(YEAR(H221)-(($I221/12)-13),MONTH(H221),DAY(H221)),"dd/mm/yyyy"),", ",Constants!$W$7,TEXT($H221,"dd/mm/yyyy")),IF(($I221/12)=10,_xlfn.CONCAT(Constants!$N$6,TEXT(DATE(YEAR(H221)-(($I221/12)-2),MONTH(H221),DAY(H221)),"dd/mm/yyyy"),", ",Constants!$P$6,TEXT(DATE(YEAR(H221)-(($I221/12)-6),MONTH(H221),DAY(H221)),"dd/mm/yyyy"),", ",Constants!$T$6,TEXT(DATE(YEAR(H221)-(($I221/12)-8),MONTH(H221),DAY(H221)),"dd/mm/yyyy"),", ",Constants!$V$6,TEXT(DATE(YEAR(H221)-(($I221/12)-9),MONTH(H221),DAY(H221)),"dd/mm/yyyy"),", ",Constants!$W$6,TEXT($H221,"dd/mm/yyyy")),IF(($I221/12)=5,_xlfn.CONCAT(Constants!$N$5,TEXT(DATE(YEAR(H221)-(($I221/12)-1),MONTH(H221),DAY(H221)),"dd/mm/yyyy"),", ",Constants!$O$5,TEXT(DATE(YEAR(H221)-(($I221/12)-2),MONTH(H221),DAY(H221)),"dd/mm/yyyy"),", ",Constants!$P$5,TEXT(DATE(YEAR(H221)-(($I221/12)-3),MONTH(H221),DAY(H221)),"dd/mm/yyyy"),", ",Constants!$Q$5,TEXT(DATE(YEAR(H221)-(($I221/12)-4),MONTH(H221),DAY(H221)),"dd/mm/yyyy"),", ",Constants!$R$5,TEXT($H221,"dd/mm/yyyy")),IF(($I221/12)=3,_xlfn.CONCAT(Constants!$N$4,TEXT(DATE(YEAR(H221)-(($I221/12)-1),MONTH(H221),DAY(H221)),"dd/mm/yyyy"),", ",Constants!$O$4,TEXT(DATE(YEAR(H221)-(($I221/12)-2),MONTH(H221),DAY(H221)),"dd/mm/yyyy"),", ",Constants!$P$4,TEXT($H221,"dd/mm/yyyy")),IF(($I221/12)=2,_xlfn.CONCAT(Constants!$N$3,TEXT(DATE(YEAR(H221)-(($I221/12)-1),MONTH(H221),DAY(H221)),"dd/mm/yyyy"),", ",Constants!$O$3,TEXT($H221,"dd/mm/yyyy")),IF(($I221/12)=1,_xlfn.CONCAT(Constants!$N$2,TEXT($H221,"dd/mm/yyyy")),"Update Constants"))))))),"")</f>
        <v/>
      </c>
      <c r="BC221" s="147" t="str">
        <f>_xlfn.IFNA(VALUE(INDEX(Producer!$K:$K,MATCH($D221,Producer!$A:$A,0))),"")</f>
        <v/>
      </c>
      <c r="BD221" s="147" t="str">
        <f>_xlfn.IFNA(INDEX(Producer!$I:$I,MATCH($D221,Producer!$A:$A,0)),"")</f>
        <v/>
      </c>
      <c r="BE221" s="147" t="str">
        <f t="shared" si="92"/>
        <v/>
      </c>
      <c r="BF221" s="147"/>
      <c r="BG221" s="147"/>
      <c r="BH221" s="151" t="str">
        <f>_xlfn.IFNA(INDEX(Constants!$B:$B,MATCH(BC221,Constants!A:A,0)),"")</f>
        <v/>
      </c>
      <c r="BI221" s="147" t="str">
        <f>IF(LEFT(B221,15)="Limited Company",Constants!$D$16,IFERROR(_xlfn.IFNA(IF(C221="Residential",IF(BK221&lt;75,INDEX(Constants!$B:$B,MATCH(VALUE(60)/100,Constants!$A:$A,0)),INDEX(Constants!$B:$B,MATCH(VALUE(BK221)/100,Constants!$A:$A,0))),IF(BK221&lt;60,INDEX(Constants!$C:$C,MATCH(VALUE(60)/100,Constants!$A:$A,0)),INDEX(Constants!$C:$C,MATCH(VALUE(BK221)/100,Constants!$A:$A,0)))),""),""))</f>
        <v/>
      </c>
      <c r="BJ221" s="147" t="str">
        <f t="shared" si="93"/>
        <v/>
      </c>
      <c r="BK221" s="147" t="str">
        <f>_xlfn.IFNA(VALUE(INDEX(Producer!$E:$E,MATCH($D221,Producer!$A:$A,0)))*100,"")</f>
        <v/>
      </c>
      <c r="BL221" s="146" t="str">
        <f>_xlfn.IFNA(IF(IFERROR(FIND("Part &amp; Part",B221),-10)&gt;0,"PP",IF(OR(LEFT(B221,25)="Residential Interest Only",INDEX(Producer!$P:$P,MATCH($D221,Producer!$A:$A,0))="IO",INDEX(Producer!$P:$P,MATCH($D221,Producer!$A:$A,0))="Retirement Interest Only"),"IO",IF($C221="BuyToLet","CI, IO","CI"))),"")</f>
        <v/>
      </c>
      <c r="BM221" s="152" t="str">
        <f>_xlfn.IFNA(IF(BL221="IO",100%,IF(AND(INDEX(Producer!$P:$P,MATCH($D221,Producer!$A:$A,0))="Residential Interest Only Part &amp; Part",BK221=75),80%,IF(C221="BuyToLet",100%,IF(BL221="Interest Only",100%,IF(AND(INDEX(Producer!$P:$P,MATCH($D221,Producer!$A:$A,0))="Residential Interest Only Part &amp; Part",BK221=60),100%,""))))),"")</f>
        <v/>
      </c>
      <c r="BN221" s="218" t="str">
        <f>_xlfn.IFNA(IF(VALUE(INDEX(Producer!$H:$H,MATCH($D221,Producer!$A:$A,0)))=0,"",VALUE(INDEX(Producer!$H:$H,MATCH($D221,Producer!$A:$A,0)))),"")</f>
        <v/>
      </c>
      <c r="BO221" s="153"/>
      <c r="BP221" s="153"/>
      <c r="BQ221" s="219" t="str">
        <f t="shared" si="94"/>
        <v/>
      </c>
      <c r="BR221" s="146"/>
      <c r="BS221" s="146"/>
      <c r="BT221" s="146"/>
      <c r="BU221" s="146"/>
      <c r="BV221" s="219" t="str">
        <f t="shared" si="95"/>
        <v/>
      </c>
      <c r="BW221" s="146"/>
      <c r="BX221" s="146"/>
      <c r="BY221" s="146" t="str">
        <f t="shared" si="96"/>
        <v/>
      </c>
      <c r="BZ221" s="146" t="str">
        <f t="shared" si="97"/>
        <v/>
      </c>
      <c r="CA221" s="146" t="str">
        <f t="shared" si="98"/>
        <v/>
      </c>
      <c r="CB221" s="146" t="str">
        <f t="shared" si="99"/>
        <v/>
      </c>
      <c r="CC221" s="146" t="str">
        <f>_xlfn.IFNA(IF(INDEX(Producer!$P:$P,MATCH($D221,Producer!$A:$A,0))="Help to Buy","Only available","No"),"")</f>
        <v/>
      </c>
      <c r="CD221" s="146" t="str">
        <f>_xlfn.IFNA(IF(INDEX(Producer!$P:$P,MATCH($D221,Producer!$A:$A,0))="Shared Ownership","Only available","No"),"")</f>
        <v/>
      </c>
      <c r="CE221" s="146" t="str">
        <f>_xlfn.IFNA(IF(INDEX(Producer!$P:$P,MATCH($D221,Producer!$A:$A,0))="Right to Buy","Only available","No"),"")</f>
        <v/>
      </c>
      <c r="CF221" s="146" t="str">
        <f t="shared" si="100"/>
        <v/>
      </c>
      <c r="CG221" s="146" t="str">
        <f>_xlfn.IFNA(IF(INDEX(Producer!$P:$P,MATCH($D221,Producer!$A:$A,0))="Retirement Interest Only","Only available","No"),"")</f>
        <v/>
      </c>
      <c r="CH221" s="146" t="str">
        <f t="shared" si="101"/>
        <v/>
      </c>
      <c r="CI221" s="146" t="str">
        <f>_xlfn.IFNA(IF(INDEX(Producer!$P:$P,MATCH($D221,Producer!$A:$A,0))="Intermediary Holiday Let","Only available","No"),"")</f>
        <v/>
      </c>
      <c r="CJ221" s="146" t="str">
        <f t="shared" si="102"/>
        <v/>
      </c>
      <c r="CK221" s="146" t="str">
        <f>_xlfn.IFNA(IF(OR(INDEX(Producer!$P:$P,MATCH($D221,Producer!$A:$A,0))="Intermediary Small HMO",INDEX(Producer!$P:$P,MATCH($D221,Producer!$A:$A,0))="Intermediary Large HMO"),"Only available","No"),"")</f>
        <v/>
      </c>
      <c r="CL221" s="146" t="str">
        <f t="shared" si="103"/>
        <v/>
      </c>
      <c r="CM221" s="146" t="str">
        <f t="shared" si="104"/>
        <v/>
      </c>
      <c r="CN221" s="146" t="str">
        <f t="shared" si="105"/>
        <v/>
      </c>
      <c r="CO221" s="146" t="str">
        <f t="shared" si="106"/>
        <v/>
      </c>
      <c r="CP221" s="146" t="str">
        <f t="shared" si="107"/>
        <v/>
      </c>
      <c r="CQ221" s="146" t="str">
        <f t="shared" si="108"/>
        <v/>
      </c>
      <c r="CR221" s="146" t="str">
        <f t="shared" si="109"/>
        <v/>
      </c>
      <c r="CS221" s="146" t="str">
        <f t="shared" si="110"/>
        <v/>
      </c>
      <c r="CT221" s="146" t="str">
        <f t="shared" si="111"/>
        <v/>
      </c>
      <c r="CU221" s="146"/>
    </row>
    <row r="222" spans="1:99" ht="16.399999999999999" customHeight="1" x14ac:dyDescent="0.35">
      <c r="A222" s="145" t="str">
        <f t="shared" si="84"/>
        <v/>
      </c>
      <c r="B222" s="145" t="str">
        <f>_xlfn.IFNA(_xlfn.CONCAT(INDEX(Producer!$P:$P,MATCH($D222,Producer!$A:$A,0))," ",IF(INDEX(Producer!$N:$N,MATCH($D222,Producer!$A:$A,0))="Yes","Green ",""),IF(AND(INDEX(Producer!$L:$L,MATCH($D222,Producer!$A:$A,0))="No",INDEX(Producer!$C:$C,MATCH($D222,Producer!$A:$A,0))="Fixed"),"Flexit ",""),INDEX(Producer!$B:$B,MATCH($D222,Producer!$A:$A,0))," Year ",INDEX(Producer!$C:$C,MATCH($D222,Producer!$A:$A,0))," ",VALUE(INDEX(Producer!$E:$E,MATCH($D222,Producer!$A:$A,0)))*100,"% LTV",IF(INDEX(Producer!$N:$N,MATCH($D222,Producer!$A:$A,0))="Yes"," (EPC A-C)","")," - ",IF(INDEX(Producer!$D:$D,MATCH($D222,Producer!$A:$A,0))="DLY","Daily","Annual")),"")</f>
        <v/>
      </c>
      <c r="C222" s="146" t="str">
        <f>_xlfn.IFNA(INDEX(Producer!$Q:$Q,MATCH($D222,Producer!$A:$A,0)),"")</f>
        <v/>
      </c>
      <c r="D222" s="146" t="str">
        <f>IFERROR(VALUE(MID(Producer!$R$2,IF($D221="",1/0,FIND(_xlfn.CONCAT($D220,$D221),Producer!$R$2)+10),5)),"")</f>
        <v/>
      </c>
      <c r="E222" s="146" t="str">
        <f t="shared" si="85"/>
        <v/>
      </c>
      <c r="F222" s="146"/>
      <c r="G222" s="147" t="str">
        <f>_xlfn.IFNA(VALUE(INDEX(Producer!$F:$F,MATCH($D222,Producer!$A:$A,0)))*100,"")</f>
        <v/>
      </c>
      <c r="H222" s="216" t="str">
        <f>_xlfn.IFNA(IFERROR(DATEVALUE(INDEX(Producer!$M:$M,MATCH($D222,Producer!$A:$A,0))),(INDEX(Producer!$M:$M,MATCH($D222,Producer!$A:$A,0)))),"")</f>
        <v/>
      </c>
      <c r="I222" s="217" t="str">
        <f>_xlfn.IFNA(VALUE(INDEX(Producer!$B:$B,MATCH($D222,Producer!$A:$A,0)))*12,"")</f>
        <v/>
      </c>
      <c r="J222" s="146" t="str">
        <f>_xlfn.IFNA(IF(C222="Residential",IF(VALUE(INDEX(Producer!$B:$B,MATCH($D222,Producer!$A:$A,0)))&lt;5,Constants!$C$10,""),IF(VALUE(INDEX(Producer!$B:$B,MATCH($D222,Producer!$A:$A,0)))&lt;5,Constants!$C$11,"")),"")</f>
        <v/>
      </c>
      <c r="K222" s="216" t="str">
        <f>_xlfn.IFNA(IF(($I222)&lt;60,DATE(YEAR(H222)+(5-VALUE(INDEX(Producer!$B:$B,MATCH($D222,Producer!$A:$A,0)))),MONTH(H222),DAY(H222)),""),"")</f>
        <v/>
      </c>
      <c r="L222" s="153" t="str">
        <f t="shared" si="86"/>
        <v/>
      </c>
      <c r="M222" s="146"/>
      <c r="N222" s="148"/>
      <c r="O222" s="148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  <c r="AJ222" s="146"/>
      <c r="AK222" s="146" t="str">
        <f>IF(D222="","",IF(C222="Residential",Constants!$B$10,Constants!$B$11))</f>
        <v/>
      </c>
      <c r="AL222" s="146" t="str">
        <f t="shared" si="87"/>
        <v/>
      </c>
      <c r="AM222" s="206" t="str">
        <f t="shared" si="88"/>
        <v/>
      </c>
      <c r="AN222" s="146" t="str">
        <f t="shared" si="89"/>
        <v/>
      </c>
      <c r="AO222" s="149" t="str">
        <f t="shared" si="90"/>
        <v/>
      </c>
      <c r="AP222" s="150" t="str">
        <f t="shared" si="91"/>
        <v/>
      </c>
      <c r="AQ222" s="146" t="str">
        <f>IFERROR(_xlfn.IFNA(IF($BA222="No",0,IF(INDEX(Constants!B:B,MATCH(($I222/12),Constants!$A:$A,0))=0,0,INDEX(Constants!B:B,MATCH(($I222/12),Constants!$A:$A,0)))),0),"")</f>
        <v/>
      </c>
      <c r="AR222" s="146" t="str">
        <f>IFERROR(_xlfn.IFNA(IF($BA222="No",0,IF(INDEX(Constants!C:C,MATCH(($I222/12),Constants!$A:$A,0))=0,0,INDEX(Constants!C:C,MATCH(($I222/12),Constants!$A:$A,0)))),0),"")</f>
        <v/>
      </c>
      <c r="AS222" s="146" t="str">
        <f>IFERROR(_xlfn.IFNA(IF($BA222="No",0,IF(INDEX(Constants!D:D,MATCH(($I222/12),Constants!$A:$A,0))=0,0,INDEX(Constants!D:D,MATCH(($I222/12),Constants!$A:$A,0)))),0),"")</f>
        <v/>
      </c>
      <c r="AT222" s="146" t="str">
        <f>IFERROR(_xlfn.IFNA(IF($BA222="No",0,IF(INDEX(Constants!E:E,MATCH(($I222/12),Constants!$A:$A,0))=0,0,INDEX(Constants!E:E,MATCH(($I222/12),Constants!$A:$A,0)))),0),"")</f>
        <v/>
      </c>
      <c r="AU222" s="146" t="str">
        <f>IFERROR(_xlfn.IFNA(IF($BA222="No",0,IF(INDEX(Constants!F:F,MATCH(($I222/12),Constants!$A:$A,0))=0,0,INDEX(Constants!F:F,MATCH(($I222/12),Constants!$A:$A,0)))),0),"")</f>
        <v/>
      </c>
      <c r="AV222" s="146" t="str">
        <f>IFERROR(_xlfn.IFNA(IF($BA222="No",0,IF(INDEX(Constants!G:G,MATCH(($I222/12),Constants!$A:$A,0))=0,0,INDEX(Constants!G:G,MATCH(($I222/12),Constants!$A:$A,0)))),0),"")</f>
        <v/>
      </c>
      <c r="AW222" s="146" t="str">
        <f>IFERROR(_xlfn.IFNA(IF($BA222="No",0,IF(INDEX(Constants!H:H,MATCH(($I222/12),Constants!$A:$A,0))=0,0,INDEX(Constants!H:H,MATCH(($I222/12),Constants!$A:$A,0)))),0),"")</f>
        <v/>
      </c>
      <c r="AX222" s="146" t="str">
        <f>IFERROR(_xlfn.IFNA(IF($BA222="No",0,IF(INDEX(Constants!I:I,MATCH(($I222/12),Constants!$A:$A,0))=0,0,INDEX(Constants!I:I,MATCH(($I222/12),Constants!$A:$A,0)))),0),"")</f>
        <v/>
      </c>
      <c r="AY222" s="146" t="str">
        <f>IFERROR(_xlfn.IFNA(IF($BA222="No",0,IF(INDEX(Constants!J:J,MATCH(($I222/12),Constants!$A:$A,0))=0,0,INDEX(Constants!J:J,MATCH(($I222/12),Constants!$A:$A,0)))),0),"")</f>
        <v/>
      </c>
      <c r="AZ222" s="146" t="str">
        <f>IFERROR(_xlfn.IFNA(IF($BA222="No",0,IF(INDEX(Constants!K:K,MATCH(($I222/12),Constants!$A:$A,0))=0,0,INDEX(Constants!K:K,MATCH(($I222/12),Constants!$A:$A,0)))),0),"")</f>
        <v/>
      </c>
      <c r="BA222" s="147" t="str">
        <f>_xlfn.IFNA(INDEX(Producer!$L:$L,MATCH($D222,Producer!$A:$A,0)),"")</f>
        <v/>
      </c>
      <c r="BB222" s="146" t="str">
        <f>IFERROR(IF(AQ222=0,"",IF(($I222/12)=15,_xlfn.CONCAT(Constants!$N$7,TEXT(DATE(YEAR(H222)-(($I222/12)-3),MONTH(H222),DAY(H222)),"dd/mm/yyyy"),", ",Constants!$P$7,TEXT(DATE(YEAR(H222)-(($I222/12)-8),MONTH(H222),DAY(H222)),"dd/mm/yyyy"),", ",Constants!$T$7,TEXT(DATE(YEAR(H222)-(($I222/12)-11),MONTH(H222),DAY(H222)),"dd/mm/yyyy"),", ",Constants!$V$7,TEXT(DATE(YEAR(H222)-(($I222/12)-13),MONTH(H222),DAY(H222)),"dd/mm/yyyy"),", ",Constants!$W$7,TEXT($H222,"dd/mm/yyyy")),IF(($I222/12)=10,_xlfn.CONCAT(Constants!$N$6,TEXT(DATE(YEAR(H222)-(($I222/12)-2),MONTH(H222),DAY(H222)),"dd/mm/yyyy"),", ",Constants!$P$6,TEXT(DATE(YEAR(H222)-(($I222/12)-6),MONTH(H222),DAY(H222)),"dd/mm/yyyy"),", ",Constants!$T$6,TEXT(DATE(YEAR(H222)-(($I222/12)-8),MONTH(H222),DAY(H222)),"dd/mm/yyyy"),", ",Constants!$V$6,TEXT(DATE(YEAR(H222)-(($I222/12)-9),MONTH(H222),DAY(H222)),"dd/mm/yyyy"),", ",Constants!$W$6,TEXT($H222,"dd/mm/yyyy")),IF(($I222/12)=5,_xlfn.CONCAT(Constants!$N$5,TEXT(DATE(YEAR(H222)-(($I222/12)-1),MONTH(H222),DAY(H222)),"dd/mm/yyyy"),", ",Constants!$O$5,TEXT(DATE(YEAR(H222)-(($I222/12)-2),MONTH(H222),DAY(H222)),"dd/mm/yyyy"),", ",Constants!$P$5,TEXT(DATE(YEAR(H222)-(($I222/12)-3),MONTH(H222),DAY(H222)),"dd/mm/yyyy"),", ",Constants!$Q$5,TEXT(DATE(YEAR(H222)-(($I222/12)-4),MONTH(H222),DAY(H222)),"dd/mm/yyyy"),", ",Constants!$R$5,TEXT($H222,"dd/mm/yyyy")),IF(($I222/12)=3,_xlfn.CONCAT(Constants!$N$4,TEXT(DATE(YEAR(H222)-(($I222/12)-1),MONTH(H222),DAY(H222)),"dd/mm/yyyy"),", ",Constants!$O$4,TEXT(DATE(YEAR(H222)-(($I222/12)-2),MONTH(H222),DAY(H222)),"dd/mm/yyyy"),", ",Constants!$P$4,TEXT($H222,"dd/mm/yyyy")),IF(($I222/12)=2,_xlfn.CONCAT(Constants!$N$3,TEXT(DATE(YEAR(H222)-(($I222/12)-1),MONTH(H222),DAY(H222)),"dd/mm/yyyy"),", ",Constants!$O$3,TEXT($H222,"dd/mm/yyyy")),IF(($I222/12)=1,_xlfn.CONCAT(Constants!$N$2,TEXT($H222,"dd/mm/yyyy")),"Update Constants"))))))),"")</f>
        <v/>
      </c>
      <c r="BC222" s="147" t="str">
        <f>_xlfn.IFNA(VALUE(INDEX(Producer!$K:$K,MATCH($D222,Producer!$A:$A,0))),"")</f>
        <v/>
      </c>
      <c r="BD222" s="147" t="str">
        <f>_xlfn.IFNA(INDEX(Producer!$I:$I,MATCH($D222,Producer!$A:$A,0)),"")</f>
        <v/>
      </c>
      <c r="BE222" s="147" t="str">
        <f t="shared" si="92"/>
        <v/>
      </c>
      <c r="BF222" s="147"/>
      <c r="BG222" s="147"/>
      <c r="BH222" s="151" t="str">
        <f>_xlfn.IFNA(INDEX(Constants!$B:$B,MATCH(BC222,Constants!A:A,0)),"")</f>
        <v/>
      </c>
      <c r="BI222" s="147" t="str">
        <f>IF(LEFT(B222,15)="Limited Company",Constants!$D$16,IFERROR(_xlfn.IFNA(IF(C222="Residential",IF(BK222&lt;75,INDEX(Constants!$B:$B,MATCH(VALUE(60)/100,Constants!$A:$A,0)),INDEX(Constants!$B:$B,MATCH(VALUE(BK222)/100,Constants!$A:$A,0))),IF(BK222&lt;60,INDEX(Constants!$C:$C,MATCH(VALUE(60)/100,Constants!$A:$A,0)),INDEX(Constants!$C:$C,MATCH(VALUE(BK222)/100,Constants!$A:$A,0)))),""),""))</f>
        <v/>
      </c>
      <c r="BJ222" s="147" t="str">
        <f t="shared" si="93"/>
        <v/>
      </c>
      <c r="BK222" s="147" t="str">
        <f>_xlfn.IFNA(VALUE(INDEX(Producer!$E:$E,MATCH($D222,Producer!$A:$A,0)))*100,"")</f>
        <v/>
      </c>
      <c r="BL222" s="146" t="str">
        <f>_xlfn.IFNA(IF(IFERROR(FIND("Part &amp; Part",B222),-10)&gt;0,"PP",IF(OR(LEFT(B222,25)="Residential Interest Only",INDEX(Producer!$P:$P,MATCH($D222,Producer!$A:$A,0))="IO",INDEX(Producer!$P:$P,MATCH($D222,Producer!$A:$A,0))="Retirement Interest Only"),"IO",IF($C222="BuyToLet","CI, IO","CI"))),"")</f>
        <v/>
      </c>
      <c r="BM222" s="152" t="str">
        <f>_xlfn.IFNA(IF(BL222="IO",100%,IF(AND(INDEX(Producer!$P:$P,MATCH($D222,Producer!$A:$A,0))="Residential Interest Only Part &amp; Part",BK222=75),80%,IF(C222="BuyToLet",100%,IF(BL222="Interest Only",100%,IF(AND(INDEX(Producer!$P:$P,MATCH($D222,Producer!$A:$A,0))="Residential Interest Only Part &amp; Part",BK222=60),100%,""))))),"")</f>
        <v/>
      </c>
      <c r="BN222" s="218" t="str">
        <f>_xlfn.IFNA(IF(VALUE(INDEX(Producer!$H:$H,MATCH($D222,Producer!$A:$A,0)))=0,"",VALUE(INDEX(Producer!$H:$H,MATCH($D222,Producer!$A:$A,0)))),"")</f>
        <v/>
      </c>
      <c r="BO222" s="153"/>
      <c r="BP222" s="153"/>
      <c r="BQ222" s="219" t="str">
        <f t="shared" si="94"/>
        <v/>
      </c>
      <c r="BR222" s="146"/>
      <c r="BS222" s="146"/>
      <c r="BT222" s="146"/>
      <c r="BU222" s="146"/>
      <c r="BV222" s="219" t="str">
        <f t="shared" si="95"/>
        <v/>
      </c>
      <c r="BW222" s="146"/>
      <c r="BX222" s="146"/>
      <c r="BY222" s="146" t="str">
        <f t="shared" si="96"/>
        <v/>
      </c>
      <c r="BZ222" s="146" t="str">
        <f t="shared" si="97"/>
        <v/>
      </c>
      <c r="CA222" s="146" t="str">
        <f t="shared" si="98"/>
        <v/>
      </c>
      <c r="CB222" s="146" t="str">
        <f t="shared" si="99"/>
        <v/>
      </c>
      <c r="CC222" s="146" t="str">
        <f>_xlfn.IFNA(IF(INDEX(Producer!$P:$P,MATCH($D222,Producer!$A:$A,0))="Help to Buy","Only available","No"),"")</f>
        <v/>
      </c>
      <c r="CD222" s="146" t="str">
        <f>_xlfn.IFNA(IF(INDEX(Producer!$P:$P,MATCH($D222,Producer!$A:$A,0))="Shared Ownership","Only available","No"),"")</f>
        <v/>
      </c>
      <c r="CE222" s="146" t="str">
        <f>_xlfn.IFNA(IF(INDEX(Producer!$P:$P,MATCH($D222,Producer!$A:$A,0))="Right to Buy","Only available","No"),"")</f>
        <v/>
      </c>
      <c r="CF222" s="146" t="str">
        <f t="shared" si="100"/>
        <v/>
      </c>
      <c r="CG222" s="146" t="str">
        <f>_xlfn.IFNA(IF(INDEX(Producer!$P:$P,MATCH($D222,Producer!$A:$A,0))="Retirement Interest Only","Only available","No"),"")</f>
        <v/>
      </c>
      <c r="CH222" s="146" t="str">
        <f t="shared" si="101"/>
        <v/>
      </c>
      <c r="CI222" s="146" t="str">
        <f>_xlfn.IFNA(IF(INDEX(Producer!$P:$P,MATCH($D222,Producer!$A:$A,0))="Intermediary Holiday Let","Only available","No"),"")</f>
        <v/>
      </c>
      <c r="CJ222" s="146" t="str">
        <f t="shared" si="102"/>
        <v/>
      </c>
      <c r="CK222" s="146" t="str">
        <f>_xlfn.IFNA(IF(OR(INDEX(Producer!$P:$P,MATCH($D222,Producer!$A:$A,0))="Intermediary Small HMO",INDEX(Producer!$P:$P,MATCH($D222,Producer!$A:$A,0))="Intermediary Large HMO"),"Only available","No"),"")</f>
        <v/>
      </c>
      <c r="CL222" s="146" t="str">
        <f t="shared" si="103"/>
        <v/>
      </c>
      <c r="CM222" s="146" t="str">
        <f t="shared" si="104"/>
        <v/>
      </c>
      <c r="CN222" s="146" t="str">
        <f t="shared" si="105"/>
        <v/>
      </c>
      <c r="CO222" s="146" t="str">
        <f t="shared" si="106"/>
        <v/>
      </c>
      <c r="CP222" s="146" t="str">
        <f t="shared" si="107"/>
        <v/>
      </c>
      <c r="CQ222" s="146" t="str">
        <f t="shared" si="108"/>
        <v/>
      </c>
      <c r="CR222" s="146" t="str">
        <f t="shared" si="109"/>
        <v/>
      </c>
      <c r="CS222" s="146" t="str">
        <f t="shared" si="110"/>
        <v/>
      </c>
      <c r="CT222" s="146" t="str">
        <f t="shared" si="111"/>
        <v/>
      </c>
      <c r="CU222" s="146"/>
    </row>
    <row r="223" spans="1:99" ht="16.399999999999999" customHeight="1" x14ac:dyDescent="0.35">
      <c r="A223" s="145" t="str">
        <f t="shared" si="84"/>
        <v/>
      </c>
      <c r="B223" s="145" t="str">
        <f>_xlfn.IFNA(_xlfn.CONCAT(INDEX(Producer!$P:$P,MATCH($D223,Producer!$A:$A,0))," ",IF(INDEX(Producer!$N:$N,MATCH($D223,Producer!$A:$A,0))="Yes","Green ",""),IF(AND(INDEX(Producer!$L:$L,MATCH($D223,Producer!$A:$A,0))="No",INDEX(Producer!$C:$C,MATCH($D223,Producer!$A:$A,0))="Fixed"),"Flexit ",""),INDEX(Producer!$B:$B,MATCH($D223,Producer!$A:$A,0))," Year ",INDEX(Producer!$C:$C,MATCH($D223,Producer!$A:$A,0))," ",VALUE(INDEX(Producer!$E:$E,MATCH($D223,Producer!$A:$A,0)))*100,"% LTV",IF(INDEX(Producer!$N:$N,MATCH($D223,Producer!$A:$A,0))="Yes"," (EPC A-C)","")," - ",IF(INDEX(Producer!$D:$D,MATCH($D223,Producer!$A:$A,0))="DLY","Daily","Annual")),"")</f>
        <v/>
      </c>
      <c r="C223" s="146" t="str">
        <f>_xlfn.IFNA(INDEX(Producer!$Q:$Q,MATCH($D223,Producer!$A:$A,0)),"")</f>
        <v/>
      </c>
      <c r="D223" s="146" t="str">
        <f>IFERROR(VALUE(MID(Producer!$R$2,IF($D222="",1/0,FIND(_xlfn.CONCAT($D221,$D222),Producer!$R$2)+10),5)),"")</f>
        <v/>
      </c>
      <c r="E223" s="146" t="str">
        <f t="shared" si="85"/>
        <v/>
      </c>
      <c r="F223" s="146"/>
      <c r="G223" s="147" t="str">
        <f>_xlfn.IFNA(VALUE(INDEX(Producer!$F:$F,MATCH($D223,Producer!$A:$A,0)))*100,"")</f>
        <v/>
      </c>
      <c r="H223" s="216" t="str">
        <f>_xlfn.IFNA(IFERROR(DATEVALUE(INDEX(Producer!$M:$M,MATCH($D223,Producer!$A:$A,0))),(INDEX(Producer!$M:$M,MATCH($D223,Producer!$A:$A,0)))),"")</f>
        <v/>
      </c>
      <c r="I223" s="217" t="str">
        <f>_xlfn.IFNA(VALUE(INDEX(Producer!$B:$B,MATCH($D223,Producer!$A:$A,0)))*12,"")</f>
        <v/>
      </c>
      <c r="J223" s="146" t="str">
        <f>_xlfn.IFNA(IF(C223="Residential",IF(VALUE(INDEX(Producer!$B:$B,MATCH($D223,Producer!$A:$A,0)))&lt;5,Constants!$C$10,""),IF(VALUE(INDEX(Producer!$B:$B,MATCH($D223,Producer!$A:$A,0)))&lt;5,Constants!$C$11,"")),"")</f>
        <v/>
      </c>
      <c r="K223" s="216" t="str">
        <f>_xlfn.IFNA(IF(($I223)&lt;60,DATE(YEAR(H223)+(5-VALUE(INDEX(Producer!$B:$B,MATCH($D223,Producer!$A:$A,0)))),MONTH(H223),DAY(H223)),""),"")</f>
        <v/>
      </c>
      <c r="L223" s="153" t="str">
        <f t="shared" si="86"/>
        <v/>
      </c>
      <c r="M223" s="146"/>
      <c r="N223" s="148"/>
      <c r="O223" s="148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  <c r="AC223" s="146"/>
      <c r="AD223" s="146"/>
      <c r="AE223" s="146"/>
      <c r="AF223" s="146"/>
      <c r="AG223" s="146"/>
      <c r="AH223" s="146"/>
      <c r="AI223" s="146"/>
      <c r="AJ223" s="146"/>
      <c r="AK223" s="146" t="str">
        <f>IF(D223="","",IF(C223="Residential",Constants!$B$10,Constants!$B$11))</f>
        <v/>
      </c>
      <c r="AL223" s="146" t="str">
        <f t="shared" si="87"/>
        <v/>
      </c>
      <c r="AM223" s="206" t="str">
        <f t="shared" si="88"/>
        <v/>
      </c>
      <c r="AN223" s="146" t="str">
        <f t="shared" si="89"/>
        <v/>
      </c>
      <c r="AO223" s="149" t="str">
        <f t="shared" si="90"/>
        <v/>
      </c>
      <c r="AP223" s="150" t="str">
        <f t="shared" si="91"/>
        <v/>
      </c>
      <c r="AQ223" s="146" t="str">
        <f>IFERROR(_xlfn.IFNA(IF($BA223="No",0,IF(INDEX(Constants!B:B,MATCH(($I223/12),Constants!$A:$A,0))=0,0,INDEX(Constants!B:B,MATCH(($I223/12),Constants!$A:$A,0)))),0),"")</f>
        <v/>
      </c>
      <c r="AR223" s="146" t="str">
        <f>IFERROR(_xlfn.IFNA(IF($BA223="No",0,IF(INDEX(Constants!C:C,MATCH(($I223/12),Constants!$A:$A,0))=0,0,INDEX(Constants!C:C,MATCH(($I223/12),Constants!$A:$A,0)))),0),"")</f>
        <v/>
      </c>
      <c r="AS223" s="146" t="str">
        <f>IFERROR(_xlfn.IFNA(IF($BA223="No",0,IF(INDEX(Constants!D:D,MATCH(($I223/12),Constants!$A:$A,0))=0,0,INDEX(Constants!D:D,MATCH(($I223/12),Constants!$A:$A,0)))),0),"")</f>
        <v/>
      </c>
      <c r="AT223" s="146" t="str">
        <f>IFERROR(_xlfn.IFNA(IF($BA223="No",0,IF(INDEX(Constants!E:E,MATCH(($I223/12),Constants!$A:$A,0))=0,0,INDEX(Constants!E:E,MATCH(($I223/12),Constants!$A:$A,0)))),0),"")</f>
        <v/>
      </c>
      <c r="AU223" s="146" t="str">
        <f>IFERROR(_xlfn.IFNA(IF($BA223="No",0,IF(INDEX(Constants!F:F,MATCH(($I223/12),Constants!$A:$A,0))=0,0,INDEX(Constants!F:F,MATCH(($I223/12),Constants!$A:$A,0)))),0),"")</f>
        <v/>
      </c>
      <c r="AV223" s="146" t="str">
        <f>IFERROR(_xlfn.IFNA(IF($BA223="No",0,IF(INDEX(Constants!G:G,MATCH(($I223/12),Constants!$A:$A,0))=0,0,INDEX(Constants!G:G,MATCH(($I223/12),Constants!$A:$A,0)))),0),"")</f>
        <v/>
      </c>
      <c r="AW223" s="146" t="str">
        <f>IFERROR(_xlfn.IFNA(IF($BA223="No",0,IF(INDEX(Constants!H:H,MATCH(($I223/12),Constants!$A:$A,0))=0,0,INDEX(Constants!H:H,MATCH(($I223/12),Constants!$A:$A,0)))),0),"")</f>
        <v/>
      </c>
      <c r="AX223" s="146" t="str">
        <f>IFERROR(_xlfn.IFNA(IF($BA223="No",0,IF(INDEX(Constants!I:I,MATCH(($I223/12),Constants!$A:$A,0))=0,0,INDEX(Constants!I:I,MATCH(($I223/12),Constants!$A:$A,0)))),0),"")</f>
        <v/>
      </c>
      <c r="AY223" s="146" t="str">
        <f>IFERROR(_xlfn.IFNA(IF($BA223="No",0,IF(INDEX(Constants!J:J,MATCH(($I223/12),Constants!$A:$A,0))=0,0,INDEX(Constants!J:J,MATCH(($I223/12),Constants!$A:$A,0)))),0),"")</f>
        <v/>
      </c>
      <c r="AZ223" s="146" t="str">
        <f>IFERROR(_xlfn.IFNA(IF($BA223="No",0,IF(INDEX(Constants!K:K,MATCH(($I223/12),Constants!$A:$A,0))=0,0,INDEX(Constants!K:K,MATCH(($I223/12),Constants!$A:$A,0)))),0),"")</f>
        <v/>
      </c>
      <c r="BA223" s="147" t="str">
        <f>_xlfn.IFNA(INDEX(Producer!$L:$L,MATCH($D223,Producer!$A:$A,0)),"")</f>
        <v/>
      </c>
      <c r="BB223" s="146" t="str">
        <f>IFERROR(IF(AQ223=0,"",IF(($I223/12)=15,_xlfn.CONCAT(Constants!$N$7,TEXT(DATE(YEAR(H223)-(($I223/12)-3),MONTH(H223),DAY(H223)),"dd/mm/yyyy"),", ",Constants!$P$7,TEXT(DATE(YEAR(H223)-(($I223/12)-8),MONTH(H223),DAY(H223)),"dd/mm/yyyy"),", ",Constants!$T$7,TEXT(DATE(YEAR(H223)-(($I223/12)-11),MONTH(H223),DAY(H223)),"dd/mm/yyyy"),", ",Constants!$V$7,TEXT(DATE(YEAR(H223)-(($I223/12)-13),MONTH(H223),DAY(H223)),"dd/mm/yyyy"),", ",Constants!$W$7,TEXT($H223,"dd/mm/yyyy")),IF(($I223/12)=10,_xlfn.CONCAT(Constants!$N$6,TEXT(DATE(YEAR(H223)-(($I223/12)-2),MONTH(H223),DAY(H223)),"dd/mm/yyyy"),", ",Constants!$P$6,TEXT(DATE(YEAR(H223)-(($I223/12)-6),MONTH(H223),DAY(H223)),"dd/mm/yyyy"),", ",Constants!$T$6,TEXT(DATE(YEAR(H223)-(($I223/12)-8),MONTH(H223),DAY(H223)),"dd/mm/yyyy"),", ",Constants!$V$6,TEXT(DATE(YEAR(H223)-(($I223/12)-9),MONTH(H223),DAY(H223)),"dd/mm/yyyy"),", ",Constants!$W$6,TEXT($H223,"dd/mm/yyyy")),IF(($I223/12)=5,_xlfn.CONCAT(Constants!$N$5,TEXT(DATE(YEAR(H223)-(($I223/12)-1),MONTH(H223),DAY(H223)),"dd/mm/yyyy"),", ",Constants!$O$5,TEXT(DATE(YEAR(H223)-(($I223/12)-2),MONTH(H223),DAY(H223)),"dd/mm/yyyy"),", ",Constants!$P$5,TEXT(DATE(YEAR(H223)-(($I223/12)-3),MONTH(H223),DAY(H223)),"dd/mm/yyyy"),", ",Constants!$Q$5,TEXT(DATE(YEAR(H223)-(($I223/12)-4),MONTH(H223),DAY(H223)),"dd/mm/yyyy"),", ",Constants!$R$5,TEXT($H223,"dd/mm/yyyy")),IF(($I223/12)=3,_xlfn.CONCAT(Constants!$N$4,TEXT(DATE(YEAR(H223)-(($I223/12)-1),MONTH(H223),DAY(H223)),"dd/mm/yyyy"),", ",Constants!$O$4,TEXT(DATE(YEAR(H223)-(($I223/12)-2),MONTH(H223),DAY(H223)),"dd/mm/yyyy"),", ",Constants!$P$4,TEXT($H223,"dd/mm/yyyy")),IF(($I223/12)=2,_xlfn.CONCAT(Constants!$N$3,TEXT(DATE(YEAR(H223)-(($I223/12)-1),MONTH(H223),DAY(H223)),"dd/mm/yyyy"),", ",Constants!$O$3,TEXT($H223,"dd/mm/yyyy")),IF(($I223/12)=1,_xlfn.CONCAT(Constants!$N$2,TEXT($H223,"dd/mm/yyyy")),"Update Constants"))))))),"")</f>
        <v/>
      </c>
      <c r="BC223" s="147" t="str">
        <f>_xlfn.IFNA(VALUE(INDEX(Producer!$K:$K,MATCH($D223,Producer!$A:$A,0))),"")</f>
        <v/>
      </c>
      <c r="BD223" s="147" t="str">
        <f>_xlfn.IFNA(INDEX(Producer!$I:$I,MATCH($D223,Producer!$A:$A,0)),"")</f>
        <v/>
      </c>
      <c r="BE223" s="147" t="str">
        <f t="shared" si="92"/>
        <v/>
      </c>
      <c r="BF223" s="147"/>
      <c r="BG223" s="147"/>
      <c r="BH223" s="151" t="str">
        <f>_xlfn.IFNA(INDEX(Constants!$B:$B,MATCH(BC223,Constants!A:A,0)),"")</f>
        <v/>
      </c>
      <c r="BI223" s="147" t="str">
        <f>IF(LEFT(B223,15)="Limited Company",Constants!$D$16,IFERROR(_xlfn.IFNA(IF(C223="Residential",IF(BK223&lt;75,INDEX(Constants!$B:$B,MATCH(VALUE(60)/100,Constants!$A:$A,0)),INDEX(Constants!$B:$B,MATCH(VALUE(BK223)/100,Constants!$A:$A,0))),IF(BK223&lt;60,INDEX(Constants!$C:$C,MATCH(VALUE(60)/100,Constants!$A:$A,0)),INDEX(Constants!$C:$C,MATCH(VALUE(BK223)/100,Constants!$A:$A,0)))),""),""))</f>
        <v/>
      </c>
      <c r="BJ223" s="147" t="str">
        <f t="shared" si="93"/>
        <v/>
      </c>
      <c r="BK223" s="147" t="str">
        <f>_xlfn.IFNA(VALUE(INDEX(Producer!$E:$E,MATCH($D223,Producer!$A:$A,0)))*100,"")</f>
        <v/>
      </c>
      <c r="BL223" s="146" t="str">
        <f>_xlfn.IFNA(IF(IFERROR(FIND("Part &amp; Part",B223),-10)&gt;0,"PP",IF(OR(LEFT(B223,25)="Residential Interest Only",INDEX(Producer!$P:$P,MATCH($D223,Producer!$A:$A,0))="IO",INDEX(Producer!$P:$P,MATCH($D223,Producer!$A:$A,0))="Retirement Interest Only"),"IO",IF($C223="BuyToLet","CI, IO","CI"))),"")</f>
        <v/>
      </c>
      <c r="BM223" s="152" t="str">
        <f>_xlfn.IFNA(IF(BL223="IO",100%,IF(AND(INDEX(Producer!$P:$P,MATCH($D223,Producer!$A:$A,0))="Residential Interest Only Part &amp; Part",BK223=75),80%,IF(C223="BuyToLet",100%,IF(BL223="Interest Only",100%,IF(AND(INDEX(Producer!$P:$P,MATCH($D223,Producer!$A:$A,0))="Residential Interest Only Part &amp; Part",BK223=60),100%,""))))),"")</f>
        <v/>
      </c>
      <c r="BN223" s="218" t="str">
        <f>_xlfn.IFNA(IF(VALUE(INDEX(Producer!$H:$H,MATCH($D223,Producer!$A:$A,0)))=0,"",VALUE(INDEX(Producer!$H:$H,MATCH($D223,Producer!$A:$A,0)))),"")</f>
        <v/>
      </c>
      <c r="BO223" s="153"/>
      <c r="BP223" s="153"/>
      <c r="BQ223" s="219" t="str">
        <f t="shared" si="94"/>
        <v/>
      </c>
      <c r="BR223" s="146"/>
      <c r="BS223" s="146"/>
      <c r="BT223" s="146"/>
      <c r="BU223" s="146"/>
      <c r="BV223" s="219" t="str">
        <f t="shared" si="95"/>
        <v/>
      </c>
      <c r="BW223" s="146"/>
      <c r="BX223" s="146"/>
      <c r="BY223" s="146" t="str">
        <f t="shared" si="96"/>
        <v/>
      </c>
      <c r="BZ223" s="146" t="str">
        <f t="shared" si="97"/>
        <v/>
      </c>
      <c r="CA223" s="146" t="str">
        <f t="shared" si="98"/>
        <v/>
      </c>
      <c r="CB223" s="146" t="str">
        <f t="shared" si="99"/>
        <v/>
      </c>
      <c r="CC223" s="146" t="str">
        <f>_xlfn.IFNA(IF(INDEX(Producer!$P:$P,MATCH($D223,Producer!$A:$A,0))="Help to Buy","Only available","No"),"")</f>
        <v/>
      </c>
      <c r="CD223" s="146" t="str">
        <f>_xlfn.IFNA(IF(INDEX(Producer!$P:$P,MATCH($D223,Producer!$A:$A,0))="Shared Ownership","Only available","No"),"")</f>
        <v/>
      </c>
      <c r="CE223" s="146" t="str">
        <f>_xlfn.IFNA(IF(INDEX(Producer!$P:$P,MATCH($D223,Producer!$A:$A,0))="Right to Buy","Only available","No"),"")</f>
        <v/>
      </c>
      <c r="CF223" s="146" t="str">
        <f t="shared" si="100"/>
        <v/>
      </c>
      <c r="CG223" s="146" t="str">
        <f>_xlfn.IFNA(IF(INDEX(Producer!$P:$P,MATCH($D223,Producer!$A:$A,0))="Retirement Interest Only","Only available","No"),"")</f>
        <v/>
      </c>
      <c r="CH223" s="146" t="str">
        <f t="shared" si="101"/>
        <v/>
      </c>
      <c r="CI223" s="146" t="str">
        <f>_xlfn.IFNA(IF(INDEX(Producer!$P:$P,MATCH($D223,Producer!$A:$A,0))="Intermediary Holiday Let","Only available","No"),"")</f>
        <v/>
      </c>
      <c r="CJ223" s="146" t="str">
        <f t="shared" si="102"/>
        <v/>
      </c>
      <c r="CK223" s="146" t="str">
        <f>_xlfn.IFNA(IF(OR(INDEX(Producer!$P:$P,MATCH($D223,Producer!$A:$A,0))="Intermediary Small HMO",INDEX(Producer!$P:$P,MATCH($D223,Producer!$A:$A,0))="Intermediary Large HMO"),"Only available","No"),"")</f>
        <v/>
      </c>
      <c r="CL223" s="146" t="str">
        <f t="shared" si="103"/>
        <v/>
      </c>
      <c r="CM223" s="146" t="str">
        <f t="shared" si="104"/>
        <v/>
      </c>
      <c r="CN223" s="146" t="str">
        <f t="shared" si="105"/>
        <v/>
      </c>
      <c r="CO223" s="146" t="str">
        <f t="shared" si="106"/>
        <v/>
      </c>
      <c r="CP223" s="146" t="str">
        <f t="shared" si="107"/>
        <v/>
      </c>
      <c r="CQ223" s="146" t="str">
        <f t="shared" si="108"/>
        <v/>
      </c>
      <c r="CR223" s="146" t="str">
        <f t="shared" si="109"/>
        <v/>
      </c>
      <c r="CS223" s="146" t="str">
        <f t="shared" si="110"/>
        <v/>
      </c>
      <c r="CT223" s="146" t="str">
        <f t="shared" si="111"/>
        <v/>
      </c>
      <c r="CU223" s="146"/>
    </row>
    <row r="224" spans="1:99" ht="16.399999999999999" customHeight="1" x14ac:dyDescent="0.35">
      <c r="A224" s="145" t="str">
        <f t="shared" si="84"/>
        <v/>
      </c>
      <c r="B224" s="145" t="str">
        <f>_xlfn.IFNA(_xlfn.CONCAT(INDEX(Producer!$P:$P,MATCH($D224,Producer!$A:$A,0))," ",IF(INDEX(Producer!$N:$N,MATCH($D224,Producer!$A:$A,0))="Yes","Green ",""),IF(AND(INDEX(Producer!$L:$L,MATCH($D224,Producer!$A:$A,0))="No",INDEX(Producer!$C:$C,MATCH($D224,Producer!$A:$A,0))="Fixed"),"Flexit ",""),INDEX(Producer!$B:$B,MATCH($D224,Producer!$A:$A,0))," Year ",INDEX(Producer!$C:$C,MATCH($D224,Producer!$A:$A,0))," ",VALUE(INDEX(Producer!$E:$E,MATCH($D224,Producer!$A:$A,0)))*100,"% LTV",IF(INDEX(Producer!$N:$N,MATCH($D224,Producer!$A:$A,0))="Yes"," (EPC A-C)","")," - ",IF(INDEX(Producer!$D:$D,MATCH($D224,Producer!$A:$A,0))="DLY","Daily","Annual")),"")</f>
        <v/>
      </c>
      <c r="C224" s="146" t="str">
        <f>_xlfn.IFNA(INDEX(Producer!$Q:$Q,MATCH($D224,Producer!$A:$A,0)),"")</f>
        <v/>
      </c>
      <c r="D224" s="146" t="str">
        <f>IFERROR(VALUE(MID(Producer!$R$2,IF($D223="",1/0,FIND(_xlfn.CONCAT($D222,$D223),Producer!$R$2)+10),5)),"")</f>
        <v/>
      </c>
      <c r="E224" s="146" t="str">
        <f t="shared" si="85"/>
        <v/>
      </c>
      <c r="F224" s="146"/>
      <c r="G224" s="147" t="str">
        <f>_xlfn.IFNA(VALUE(INDEX(Producer!$F:$F,MATCH($D224,Producer!$A:$A,0)))*100,"")</f>
        <v/>
      </c>
      <c r="H224" s="216" t="str">
        <f>_xlfn.IFNA(IFERROR(DATEVALUE(INDEX(Producer!$M:$M,MATCH($D224,Producer!$A:$A,0))),(INDEX(Producer!$M:$M,MATCH($D224,Producer!$A:$A,0)))),"")</f>
        <v/>
      </c>
      <c r="I224" s="217" t="str">
        <f>_xlfn.IFNA(VALUE(INDEX(Producer!$B:$B,MATCH($D224,Producer!$A:$A,0)))*12,"")</f>
        <v/>
      </c>
      <c r="J224" s="146" t="str">
        <f>_xlfn.IFNA(IF(C224="Residential",IF(VALUE(INDEX(Producer!$B:$B,MATCH($D224,Producer!$A:$A,0)))&lt;5,Constants!$C$10,""),IF(VALUE(INDEX(Producer!$B:$B,MATCH($D224,Producer!$A:$A,0)))&lt;5,Constants!$C$11,"")),"")</f>
        <v/>
      </c>
      <c r="K224" s="216" t="str">
        <f>_xlfn.IFNA(IF(($I224)&lt;60,DATE(YEAR(H224)+(5-VALUE(INDEX(Producer!$B:$B,MATCH($D224,Producer!$A:$A,0)))),MONTH(H224),DAY(H224)),""),"")</f>
        <v/>
      </c>
      <c r="L224" s="153" t="str">
        <f t="shared" si="86"/>
        <v/>
      </c>
      <c r="M224" s="146"/>
      <c r="N224" s="148"/>
      <c r="O224" s="148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6"/>
      <c r="AK224" s="146" t="str">
        <f>IF(D224="","",IF(C224="Residential",Constants!$B$10,Constants!$B$11))</f>
        <v/>
      </c>
      <c r="AL224" s="146" t="str">
        <f t="shared" si="87"/>
        <v/>
      </c>
      <c r="AM224" s="206" t="str">
        <f t="shared" si="88"/>
        <v/>
      </c>
      <c r="AN224" s="146" t="str">
        <f t="shared" si="89"/>
        <v/>
      </c>
      <c r="AO224" s="149" t="str">
        <f t="shared" si="90"/>
        <v/>
      </c>
      <c r="AP224" s="150" t="str">
        <f t="shared" si="91"/>
        <v/>
      </c>
      <c r="AQ224" s="146" t="str">
        <f>IFERROR(_xlfn.IFNA(IF($BA224="No",0,IF(INDEX(Constants!B:B,MATCH(($I224/12),Constants!$A:$A,0))=0,0,INDEX(Constants!B:B,MATCH(($I224/12),Constants!$A:$A,0)))),0),"")</f>
        <v/>
      </c>
      <c r="AR224" s="146" t="str">
        <f>IFERROR(_xlfn.IFNA(IF($BA224="No",0,IF(INDEX(Constants!C:C,MATCH(($I224/12),Constants!$A:$A,0))=0,0,INDEX(Constants!C:C,MATCH(($I224/12),Constants!$A:$A,0)))),0),"")</f>
        <v/>
      </c>
      <c r="AS224" s="146" t="str">
        <f>IFERROR(_xlfn.IFNA(IF($BA224="No",0,IF(INDEX(Constants!D:D,MATCH(($I224/12),Constants!$A:$A,0))=0,0,INDEX(Constants!D:D,MATCH(($I224/12),Constants!$A:$A,0)))),0),"")</f>
        <v/>
      </c>
      <c r="AT224" s="146" t="str">
        <f>IFERROR(_xlfn.IFNA(IF($BA224="No",0,IF(INDEX(Constants!E:E,MATCH(($I224/12),Constants!$A:$A,0))=0,0,INDEX(Constants!E:E,MATCH(($I224/12),Constants!$A:$A,0)))),0),"")</f>
        <v/>
      </c>
      <c r="AU224" s="146" t="str">
        <f>IFERROR(_xlfn.IFNA(IF($BA224="No",0,IF(INDEX(Constants!F:F,MATCH(($I224/12),Constants!$A:$A,0))=0,0,INDEX(Constants!F:F,MATCH(($I224/12),Constants!$A:$A,0)))),0),"")</f>
        <v/>
      </c>
      <c r="AV224" s="146" t="str">
        <f>IFERROR(_xlfn.IFNA(IF($BA224="No",0,IF(INDEX(Constants!G:G,MATCH(($I224/12),Constants!$A:$A,0))=0,0,INDEX(Constants!G:G,MATCH(($I224/12),Constants!$A:$A,0)))),0),"")</f>
        <v/>
      </c>
      <c r="AW224" s="146" t="str">
        <f>IFERROR(_xlfn.IFNA(IF($BA224="No",0,IF(INDEX(Constants!H:H,MATCH(($I224/12),Constants!$A:$A,0))=0,0,INDEX(Constants!H:H,MATCH(($I224/12),Constants!$A:$A,0)))),0),"")</f>
        <v/>
      </c>
      <c r="AX224" s="146" t="str">
        <f>IFERROR(_xlfn.IFNA(IF($BA224="No",0,IF(INDEX(Constants!I:I,MATCH(($I224/12),Constants!$A:$A,0))=0,0,INDEX(Constants!I:I,MATCH(($I224/12),Constants!$A:$A,0)))),0),"")</f>
        <v/>
      </c>
      <c r="AY224" s="146" t="str">
        <f>IFERROR(_xlfn.IFNA(IF($BA224="No",0,IF(INDEX(Constants!J:J,MATCH(($I224/12),Constants!$A:$A,0))=0,0,INDEX(Constants!J:J,MATCH(($I224/12),Constants!$A:$A,0)))),0),"")</f>
        <v/>
      </c>
      <c r="AZ224" s="146" t="str">
        <f>IFERROR(_xlfn.IFNA(IF($BA224="No",0,IF(INDEX(Constants!K:K,MATCH(($I224/12),Constants!$A:$A,0))=0,0,INDEX(Constants!K:K,MATCH(($I224/12),Constants!$A:$A,0)))),0),"")</f>
        <v/>
      </c>
      <c r="BA224" s="147" t="str">
        <f>_xlfn.IFNA(INDEX(Producer!$L:$L,MATCH($D224,Producer!$A:$A,0)),"")</f>
        <v/>
      </c>
      <c r="BB224" s="146" t="str">
        <f>IFERROR(IF(AQ224=0,"",IF(($I224/12)=15,_xlfn.CONCAT(Constants!$N$7,TEXT(DATE(YEAR(H224)-(($I224/12)-3),MONTH(H224),DAY(H224)),"dd/mm/yyyy"),", ",Constants!$P$7,TEXT(DATE(YEAR(H224)-(($I224/12)-8),MONTH(H224),DAY(H224)),"dd/mm/yyyy"),", ",Constants!$T$7,TEXT(DATE(YEAR(H224)-(($I224/12)-11),MONTH(H224),DAY(H224)),"dd/mm/yyyy"),", ",Constants!$V$7,TEXT(DATE(YEAR(H224)-(($I224/12)-13),MONTH(H224),DAY(H224)),"dd/mm/yyyy"),", ",Constants!$W$7,TEXT($H224,"dd/mm/yyyy")),IF(($I224/12)=10,_xlfn.CONCAT(Constants!$N$6,TEXT(DATE(YEAR(H224)-(($I224/12)-2),MONTH(H224),DAY(H224)),"dd/mm/yyyy"),", ",Constants!$P$6,TEXT(DATE(YEAR(H224)-(($I224/12)-6),MONTH(H224),DAY(H224)),"dd/mm/yyyy"),", ",Constants!$T$6,TEXT(DATE(YEAR(H224)-(($I224/12)-8),MONTH(H224),DAY(H224)),"dd/mm/yyyy"),", ",Constants!$V$6,TEXT(DATE(YEAR(H224)-(($I224/12)-9),MONTH(H224),DAY(H224)),"dd/mm/yyyy"),", ",Constants!$W$6,TEXT($H224,"dd/mm/yyyy")),IF(($I224/12)=5,_xlfn.CONCAT(Constants!$N$5,TEXT(DATE(YEAR(H224)-(($I224/12)-1),MONTH(H224),DAY(H224)),"dd/mm/yyyy"),", ",Constants!$O$5,TEXT(DATE(YEAR(H224)-(($I224/12)-2),MONTH(H224),DAY(H224)),"dd/mm/yyyy"),", ",Constants!$P$5,TEXT(DATE(YEAR(H224)-(($I224/12)-3),MONTH(H224),DAY(H224)),"dd/mm/yyyy"),", ",Constants!$Q$5,TEXT(DATE(YEAR(H224)-(($I224/12)-4),MONTH(H224),DAY(H224)),"dd/mm/yyyy"),", ",Constants!$R$5,TEXT($H224,"dd/mm/yyyy")),IF(($I224/12)=3,_xlfn.CONCAT(Constants!$N$4,TEXT(DATE(YEAR(H224)-(($I224/12)-1),MONTH(H224),DAY(H224)),"dd/mm/yyyy"),", ",Constants!$O$4,TEXT(DATE(YEAR(H224)-(($I224/12)-2),MONTH(H224),DAY(H224)),"dd/mm/yyyy"),", ",Constants!$P$4,TEXT($H224,"dd/mm/yyyy")),IF(($I224/12)=2,_xlfn.CONCAT(Constants!$N$3,TEXT(DATE(YEAR(H224)-(($I224/12)-1),MONTH(H224),DAY(H224)),"dd/mm/yyyy"),", ",Constants!$O$3,TEXT($H224,"dd/mm/yyyy")),IF(($I224/12)=1,_xlfn.CONCAT(Constants!$N$2,TEXT($H224,"dd/mm/yyyy")),"Update Constants"))))))),"")</f>
        <v/>
      </c>
      <c r="BC224" s="147" t="str">
        <f>_xlfn.IFNA(VALUE(INDEX(Producer!$K:$K,MATCH($D224,Producer!$A:$A,0))),"")</f>
        <v/>
      </c>
      <c r="BD224" s="147" t="str">
        <f>_xlfn.IFNA(INDEX(Producer!$I:$I,MATCH($D224,Producer!$A:$A,0)),"")</f>
        <v/>
      </c>
      <c r="BE224" s="147" t="str">
        <f t="shared" si="92"/>
        <v/>
      </c>
      <c r="BF224" s="147"/>
      <c r="BG224" s="147"/>
      <c r="BH224" s="151" t="str">
        <f>_xlfn.IFNA(INDEX(Constants!$B:$B,MATCH(BC224,Constants!A:A,0)),"")</f>
        <v/>
      </c>
      <c r="BI224" s="147" t="str">
        <f>IF(LEFT(B224,15)="Limited Company",Constants!$D$16,IFERROR(_xlfn.IFNA(IF(C224="Residential",IF(BK224&lt;75,INDEX(Constants!$B:$B,MATCH(VALUE(60)/100,Constants!$A:$A,0)),INDEX(Constants!$B:$B,MATCH(VALUE(BK224)/100,Constants!$A:$A,0))),IF(BK224&lt;60,INDEX(Constants!$C:$C,MATCH(VALUE(60)/100,Constants!$A:$A,0)),INDEX(Constants!$C:$C,MATCH(VALUE(BK224)/100,Constants!$A:$A,0)))),""),""))</f>
        <v/>
      </c>
      <c r="BJ224" s="147" t="str">
        <f t="shared" si="93"/>
        <v/>
      </c>
      <c r="BK224" s="147" t="str">
        <f>_xlfn.IFNA(VALUE(INDEX(Producer!$E:$E,MATCH($D224,Producer!$A:$A,0)))*100,"")</f>
        <v/>
      </c>
      <c r="BL224" s="146" t="str">
        <f>_xlfn.IFNA(IF(IFERROR(FIND("Part &amp; Part",B224),-10)&gt;0,"PP",IF(OR(LEFT(B224,25)="Residential Interest Only",INDEX(Producer!$P:$P,MATCH($D224,Producer!$A:$A,0))="IO",INDEX(Producer!$P:$P,MATCH($D224,Producer!$A:$A,0))="Retirement Interest Only"),"IO",IF($C224="BuyToLet","CI, IO","CI"))),"")</f>
        <v/>
      </c>
      <c r="BM224" s="152" t="str">
        <f>_xlfn.IFNA(IF(BL224="IO",100%,IF(AND(INDEX(Producer!$P:$P,MATCH($D224,Producer!$A:$A,0))="Residential Interest Only Part &amp; Part",BK224=75),80%,IF(C224="BuyToLet",100%,IF(BL224="Interest Only",100%,IF(AND(INDEX(Producer!$P:$P,MATCH($D224,Producer!$A:$A,0))="Residential Interest Only Part &amp; Part",BK224=60),100%,""))))),"")</f>
        <v/>
      </c>
      <c r="BN224" s="218" t="str">
        <f>_xlfn.IFNA(IF(VALUE(INDEX(Producer!$H:$H,MATCH($D224,Producer!$A:$A,0)))=0,"",VALUE(INDEX(Producer!$H:$H,MATCH($D224,Producer!$A:$A,0)))),"")</f>
        <v/>
      </c>
      <c r="BO224" s="153"/>
      <c r="BP224" s="153"/>
      <c r="BQ224" s="219" t="str">
        <f t="shared" si="94"/>
        <v/>
      </c>
      <c r="BR224" s="146"/>
      <c r="BS224" s="146"/>
      <c r="BT224" s="146"/>
      <c r="BU224" s="146"/>
      <c r="BV224" s="219" t="str">
        <f t="shared" si="95"/>
        <v/>
      </c>
      <c r="BW224" s="146"/>
      <c r="BX224" s="146"/>
      <c r="BY224" s="146" t="str">
        <f t="shared" si="96"/>
        <v/>
      </c>
      <c r="BZ224" s="146" t="str">
        <f t="shared" si="97"/>
        <v/>
      </c>
      <c r="CA224" s="146" t="str">
        <f t="shared" si="98"/>
        <v/>
      </c>
      <c r="CB224" s="146" t="str">
        <f t="shared" si="99"/>
        <v/>
      </c>
      <c r="CC224" s="146" t="str">
        <f>_xlfn.IFNA(IF(INDEX(Producer!$P:$P,MATCH($D224,Producer!$A:$A,0))="Help to Buy","Only available","No"),"")</f>
        <v/>
      </c>
      <c r="CD224" s="146" t="str">
        <f>_xlfn.IFNA(IF(INDEX(Producer!$P:$P,MATCH($D224,Producer!$A:$A,0))="Shared Ownership","Only available","No"),"")</f>
        <v/>
      </c>
      <c r="CE224" s="146" t="str">
        <f>_xlfn.IFNA(IF(INDEX(Producer!$P:$P,MATCH($D224,Producer!$A:$A,0))="Right to Buy","Only available","No"),"")</f>
        <v/>
      </c>
      <c r="CF224" s="146" t="str">
        <f t="shared" si="100"/>
        <v/>
      </c>
      <c r="CG224" s="146" t="str">
        <f>_xlfn.IFNA(IF(INDEX(Producer!$P:$P,MATCH($D224,Producer!$A:$A,0))="Retirement Interest Only","Only available","No"),"")</f>
        <v/>
      </c>
      <c r="CH224" s="146" t="str">
        <f t="shared" si="101"/>
        <v/>
      </c>
      <c r="CI224" s="146" t="str">
        <f>_xlfn.IFNA(IF(INDEX(Producer!$P:$P,MATCH($D224,Producer!$A:$A,0))="Intermediary Holiday Let","Only available","No"),"")</f>
        <v/>
      </c>
      <c r="CJ224" s="146" t="str">
        <f t="shared" si="102"/>
        <v/>
      </c>
      <c r="CK224" s="146" t="str">
        <f>_xlfn.IFNA(IF(OR(INDEX(Producer!$P:$P,MATCH($D224,Producer!$A:$A,0))="Intermediary Small HMO",INDEX(Producer!$P:$P,MATCH($D224,Producer!$A:$A,0))="Intermediary Large HMO"),"Only available","No"),"")</f>
        <v/>
      </c>
      <c r="CL224" s="146" t="str">
        <f t="shared" si="103"/>
        <v/>
      </c>
      <c r="CM224" s="146" t="str">
        <f t="shared" si="104"/>
        <v/>
      </c>
      <c r="CN224" s="146" t="str">
        <f t="shared" si="105"/>
        <v/>
      </c>
      <c r="CO224" s="146" t="str">
        <f t="shared" si="106"/>
        <v/>
      </c>
      <c r="CP224" s="146" t="str">
        <f t="shared" si="107"/>
        <v/>
      </c>
      <c r="CQ224" s="146" t="str">
        <f t="shared" si="108"/>
        <v/>
      </c>
      <c r="CR224" s="146" t="str">
        <f t="shared" si="109"/>
        <v/>
      </c>
      <c r="CS224" s="146" t="str">
        <f t="shared" si="110"/>
        <v/>
      </c>
      <c r="CT224" s="146" t="str">
        <f t="shared" si="111"/>
        <v/>
      </c>
      <c r="CU224" s="146"/>
    </row>
    <row r="225" spans="1:99" ht="16.399999999999999" customHeight="1" x14ac:dyDescent="0.35">
      <c r="A225" s="145" t="str">
        <f t="shared" si="84"/>
        <v/>
      </c>
      <c r="B225" s="145" t="str">
        <f>_xlfn.IFNA(_xlfn.CONCAT(INDEX(Producer!$P:$P,MATCH($D225,Producer!$A:$A,0))," ",IF(INDEX(Producer!$N:$N,MATCH($D225,Producer!$A:$A,0))="Yes","Green ",""),IF(AND(INDEX(Producer!$L:$L,MATCH($D225,Producer!$A:$A,0))="No",INDEX(Producer!$C:$C,MATCH($D225,Producer!$A:$A,0))="Fixed"),"Flexit ",""),INDEX(Producer!$B:$B,MATCH($D225,Producer!$A:$A,0))," Year ",INDEX(Producer!$C:$C,MATCH($D225,Producer!$A:$A,0))," ",VALUE(INDEX(Producer!$E:$E,MATCH($D225,Producer!$A:$A,0)))*100,"% LTV",IF(INDEX(Producer!$N:$N,MATCH($D225,Producer!$A:$A,0))="Yes"," (EPC A-C)","")," - ",IF(INDEX(Producer!$D:$D,MATCH($D225,Producer!$A:$A,0))="DLY","Daily","Annual")),"")</f>
        <v/>
      </c>
      <c r="C225" s="146" t="str">
        <f>_xlfn.IFNA(INDEX(Producer!$Q:$Q,MATCH($D225,Producer!$A:$A,0)),"")</f>
        <v/>
      </c>
      <c r="D225" s="146" t="str">
        <f>IFERROR(VALUE(MID(Producer!$R$2,IF($D224="",1/0,FIND(_xlfn.CONCAT($D223,$D224),Producer!$R$2)+10),5)),"")</f>
        <v/>
      </c>
      <c r="E225" s="146" t="str">
        <f t="shared" si="85"/>
        <v/>
      </c>
      <c r="F225" s="146"/>
      <c r="G225" s="147" t="str">
        <f>_xlfn.IFNA(VALUE(INDEX(Producer!$F:$F,MATCH($D225,Producer!$A:$A,0)))*100,"")</f>
        <v/>
      </c>
      <c r="H225" s="216" t="str">
        <f>_xlfn.IFNA(IFERROR(DATEVALUE(INDEX(Producer!$M:$M,MATCH($D225,Producer!$A:$A,0))),(INDEX(Producer!$M:$M,MATCH($D225,Producer!$A:$A,0)))),"")</f>
        <v/>
      </c>
      <c r="I225" s="217" t="str">
        <f>_xlfn.IFNA(VALUE(INDEX(Producer!$B:$B,MATCH($D225,Producer!$A:$A,0)))*12,"")</f>
        <v/>
      </c>
      <c r="J225" s="146" t="str">
        <f>_xlfn.IFNA(IF(C225="Residential",IF(VALUE(INDEX(Producer!$B:$B,MATCH($D225,Producer!$A:$A,0)))&lt;5,Constants!$C$10,""),IF(VALUE(INDEX(Producer!$B:$B,MATCH($D225,Producer!$A:$A,0)))&lt;5,Constants!$C$11,"")),"")</f>
        <v/>
      </c>
      <c r="K225" s="216" t="str">
        <f>_xlfn.IFNA(IF(($I225)&lt;60,DATE(YEAR(H225)+(5-VALUE(INDEX(Producer!$B:$B,MATCH($D225,Producer!$A:$A,0)))),MONTH(H225),DAY(H225)),""),"")</f>
        <v/>
      </c>
      <c r="L225" s="153" t="str">
        <f t="shared" si="86"/>
        <v/>
      </c>
      <c r="M225" s="146"/>
      <c r="N225" s="148"/>
      <c r="O225" s="148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46"/>
      <c r="AD225" s="146"/>
      <c r="AE225" s="146"/>
      <c r="AF225" s="146"/>
      <c r="AG225" s="146"/>
      <c r="AH225" s="146"/>
      <c r="AI225" s="146"/>
      <c r="AJ225" s="146"/>
      <c r="AK225" s="146" t="str">
        <f>IF(D225="","",IF(C225="Residential",Constants!$B$10,Constants!$B$11))</f>
        <v/>
      </c>
      <c r="AL225" s="146" t="str">
        <f t="shared" si="87"/>
        <v/>
      </c>
      <c r="AM225" s="206" t="str">
        <f t="shared" si="88"/>
        <v/>
      </c>
      <c r="AN225" s="146" t="str">
        <f t="shared" si="89"/>
        <v/>
      </c>
      <c r="AO225" s="149" t="str">
        <f t="shared" si="90"/>
        <v/>
      </c>
      <c r="AP225" s="150" t="str">
        <f t="shared" si="91"/>
        <v/>
      </c>
      <c r="AQ225" s="146" t="str">
        <f>IFERROR(_xlfn.IFNA(IF($BA225="No",0,IF(INDEX(Constants!B:B,MATCH(($I225/12),Constants!$A:$A,0))=0,0,INDEX(Constants!B:B,MATCH(($I225/12),Constants!$A:$A,0)))),0),"")</f>
        <v/>
      </c>
      <c r="AR225" s="146" t="str">
        <f>IFERROR(_xlfn.IFNA(IF($BA225="No",0,IF(INDEX(Constants!C:C,MATCH(($I225/12),Constants!$A:$A,0))=0,0,INDEX(Constants!C:C,MATCH(($I225/12),Constants!$A:$A,0)))),0),"")</f>
        <v/>
      </c>
      <c r="AS225" s="146" t="str">
        <f>IFERROR(_xlfn.IFNA(IF($BA225="No",0,IF(INDEX(Constants!D:D,MATCH(($I225/12),Constants!$A:$A,0))=0,0,INDEX(Constants!D:D,MATCH(($I225/12),Constants!$A:$A,0)))),0),"")</f>
        <v/>
      </c>
      <c r="AT225" s="146" t="str">
        <f>IFERROR(_xlfn.IFNA(IF($BA225="No",0,IF(INDEX(Constants!E:E,MATCH(($I225/12),Constants!$A:$A,0))=0,0,INDEX(Constants!E:E,MATCH(($I225/12),Constants!$A:$A,0)))),0),"")</f>
        <v/>
      </c>
      <c r="AU225" s="146" t="str">
        <f>IFERROR(_xlfn.IFNA(IF($BA225="No",0,IF(INDEX(Constants!F:F,MATCH(($I225/12),Constants!$A:$A,0))=0,0,INDEX(Constants!F:F,MATCH(($I225/12),Constants!$A:$A,0)))),0),"")</f>
        <v/>
      </c>
      <c r="AV225" s="146" t="str">
        <f>IFERROR(_xlfn.IFNA(IF($BA225="No",0,IF(INDEX(Constants!G:G,MATCH(($I225/12),Constants!$A:$A,0))=0,0,INDEX(Constants!G:G,MATCH(($I225/12),Constants!$A:$A,0)))),0),"")</f>
        <v/>
      </c>
      <c r="AW225" s="146" t="str">
        <f>IFERROR(_xlfn.IFNA(IF($BA225="No",0,IF(INDEX(Constants!H:H,MATCH(($I225/12),Constants!$A:$A,0))=0,0,INDEX(Constants!H:H,MATCH(($I225/12),Constants!$A:$A,0)))),0),"")</f>
        <v/>
      </c>
      <c r="AX225" s="146" t="str">
        <f>IFERROR(_xlfn.IFNA(IF($BA225="No",0,IF(INDEX(Constants!I:I,MATCH(($I225/12),Constants!$A:$A,0))=0,0,INDEX(Constants!I:I,MATCH(($I225/12),Constants!$A:$A,0)))),0),"")</f>
        <v/>
      </c>
      <c r="AY225" s="146" t="str">
        <f>IFERROR(_xlfn.IFNA(IF($BA225="No",0,IF(INDEX(Constants!J:J,MATCH(($I225/12),Constants!$A:$A,0))=0,0,INDEX(Constants!J:J,MATCH(($I225/12),Constants!$A:$A,0)))),0),"")</f>
        <v/>
      </c>
      <c r="AZ225" s="146" t="str">
        <f>IFERROR(_xlfn.IFNA(IF($BA225="No",0,IF(INDEX(Constants!K:K,MATCH(($I225/12),Constants!$A:$A,0))=0,0,INDEX(Constants!K:K,MATCH(($I225/12),Constants!$A:$A,0)))),0),"")</f>
        <v/>
      </c>
      <c r="BA225" s="147" t="str">
        <f>_xlfn.IFNA(INDEX(Producer!$L:$L,MATCH($D225,Producer!$A:$A,0)),"")</f>
        <v/>
      </c>
      <c r="BB225" s="146" t="str">
        <f>IFERROR(IF(AQ225=0,"",IF(($I225/12)=15,_xlfn.CONCAT(Constants!$N$7,TEXT(DATE(YEAR(H225)-(($I225/12)-3),MONTH(H225),DAY(H225)),"dd/mm/yyyy"),", ",Constants!$P$7,TEXT(DATE(YEAR(H225)-(($I225/12)-8),MONTH(H225),DAY(H225)),"dd/mm/yyyy"),", ",Constants!$T$7,TEXT(DATE(YEAR(H225)-(($I225/12)-11),MONTH(H225),DAY(H225)),"dd/mm/yyyy"),", ",Constants!$V$7,TEXT(DATE(YEAR(H225)-(($I225/12)-13),MONTH(H225),DAY(H225)),"dd/mm/yyyy"),", ",Constants!$W$7,TEXT($H225,"dd/mm/yyyy")),IF(($I225/12)=10,_xlfn.CONCAT(Constants!$N$6,TEXT(DATE(YEAR(H225)-(($I225/12)-2),MONTH(H225),DAY(H225)),"dd/mm/yyyy"),", ",Constants!$P$6,TEXT(DATE(YEAR(H225)-(($I225/12)-6),MONTH(H225),DAY(H225)),"dd/mm/yyyy"),", ",Constants!$T$6,TEXT(DATE(YEAR(H225)-(($I225/12)-8),MONTH(H225),DAY(H225)),"dd/mm/yyyy"),", ",Constants!$V$6,TEXT(DATE(YEAR(H225)-(($I225/12)-9),MONTH(H225),DAY(H225)),"dd/mm/yyyy"),", ",Constants!$W$6,TEXT($H225,"dd/mm/yyyy")),IF(($I225/12)=5,_xlfn.CONCAT(Constants!$N$5,TEXT(DATE(YEAR(H225)-(($I225/12)-1),MONTH(H225),DAY(H225)),"dd/mm/yyyy"),", ",Constants!$O$5,TEXT(DATE(YEAR(H225)-(($I225/12)-2),MONTH(H225),DAY(H225)),"dd/mm/yyyy"),", ",Constants!$P$5,TEXT(DATE(YEAR(H225)-(($I225/12)-3),MONTH(H225),DAY(H225)),"dd/mm/yyyy"),", ",Constants!$Q$5,TEXT(DATE(YEAR(H225)-(($I225/12)-4),MONTH(H225),DAY(H225)),"dd/mm/yyyy"),", ",Constants!$R$5,TEXT($H225,"dd/mm/yyyy")),IF(($I225/12)=3,_xlfn.CONCAT(Constants!$N$4,TEXT(DATE(YEAR(H225)-(($I225/12)-1),MONTH(H225),DAY(H225)),"dd/mm/yyyy"),", ",Constants!$O$4,TEXT(DATE(YEAR(H225)-(($I225/12)-2),MONTH(H225),DAY(H225)),"dd/mm/yyyy"),", ",Constants!$P$4,TEXT($H225,"dd/mm/yyyy")),IF(($I225/12)=2,_xlfn.CONCAT(Constants!$N$3,TEXT(DATE(YEAR(H225)-(($I225/12)-1),MONTH(H225),DAY(H225)),"dd/mm/yyyy"),", ",Constants!$O$3,TEXT($H225,"dd/mm/yyyy")),IF(($I225/12)=1,_xlfn.CONCAT(Constants!$N$2,TEXT($H225,"dd/mm/yyyy")),"Update Constants"))))))),"")</f>
        <v/>
      </c>
      <c r="BC225" s="147" t="str">
        <f>_xlfn.IFNA(VALUE(INDEX(Producer!$K:$K,MATCH($D225,Producer!$A:$A,0))),"")</f>
        <v/>
      </c>
      <c r="BD225" s="147" t="str">
        <f>_xlfn.IFNA(INDEX(Producer!$I:$I,MATCH($D225,Producer!$A:$A,0)),"")</f>
        <v/>
      </c>
      <c r="BE225" s="147" t="str">
        <f t="shared" si="92"/>
        <v/>
      </c>
      <c r="BF225" s="147"/>
      <c r="BG225" s="147"/>
      <c r="BH225" s="151" t="str">
        <f>_xlfn.IFNA(INDEX(Constants!$B:$B,MATCH(BC225,Constants!A:A,0)),"")</f>
        <v/>
      </c>
      <c r="BI225" s="147" t="str">
        <f>IF(LEFT(B225,15)="Limited Company",Constants!$D$16,IFERROR(_xlfn.IFNA(IF(C225="Residential",IF(BK225&lt;75,INDEX(Constants!$B:$B,MATCH(VALUE(60)/100,Constants!$A:$A,0)),INDEX(Constants!$B:$B,MATCH(VALUE(BK225)/100,Constants!$A:$A,0))),IF(BK225&lt;60,INDEX(Constants!$C:$C,MATCH(VALUE(60)/100,Constants!$A:$A,0)),INDEX(Constants!$C:$C,MATCH(VALUE(BK225)/100,Constants!$A:$A,0)))),""),""))</f>
        <v/>
      </c>
      <c r="BJ225" s="147" t="str">
        <f t="shared" si="93"/>
        <v/>
      </c>
      <c r="BK225" s="147" t="str">
        <f>_xlfn.IFNA(VALUE(INDEX(Producer!$E:$E,MATCH($D225,Producer!$A:$A,0)))*100,"")</f>
        <v/>
      </c>
      <c r="BL225" s="146" t="str">
        <f>_xlfn.IFNA(IF(IFERROR(FIND("Part &amp; Part",B225),-10)&gt;0,"PP",IF(OR(LEFT(B225,25)="Residential Interest Only",INDEX(Producer!$P:$P,MATCH($D225,Producer!$A:$A,0))="IO",INDEX(Producer!$P:$P,MATCH($D225,Producer!$A:$A,0))="Retirement Interest Only"),"IO",IF($C225="BuyToLet","CI, IO","CI"))),"")</f>
        <v/>
      </c>
      <c r="BM225" s="152" t="str">
        <f>_xlfn.IFNA(IF(BL225="IO",100%,IF(AND(INDEX(Producer!$P:$P,MATCH($D225,Producer!$A:$A,0))="Residential Interest Only Part &amp; Part",BK225=75),80%,IF(C225="BuyToLet",100%,IF(BL225="Interest Only",100%,IF(AND(INDEX(Producer!$P:$P,MATCH($D225,Producer!$A:$A,0))="Residential Interest Only Part &amp; Part",BK225=60),100%,""))))),"")</f>
        <v/>
      </c>
      <c r="BN225" s="218" t="str">
        <f>_xlfn.IFNA(IF(VALUE(INDEX(Producer!$H:$H,MATCH($D225,Producer!$A:$A,0)))=0,"",VALUE(INDEX(Producer!$H:$H,MATCH($D225,Producer!$A:$A,0)))),"")</f>
        <v/>
      </c>
      <c r="BO225" s="153"/>
      <c r="BP225" s="153"/>
      <c r="BQ225" s="219" t="str">
        <f t="shared" si="94"/>
        <v/>
      </c>
      <c r="BR225" s="146"/>
      <c r="BS225" s="146"/>
      <c r="BT225" s="146"/>
      <c r="BU225" s="146"/>
      <c r="BV225" s="219" t="str">
        <f t="shared" si="95"/>
        <v/>
      </c>
      <c r="BW225" s="146"/>
      <c r="BX225" s="146"/>
      <c r="BY225" s="146" t="str">
        <f t="shared" si="96"/>
        <v/>
      </c>
      <c r="BZ225" s="146" t="str">
        <f t="shared" si="97"/>
        <v/>
      </c>
      <c r="CA225" s="146" t="str">
        <f t="shared" si="98"/>
        <v/>
      </c>
      <c r="CB225" s="146" t="str">
        <f t="shared" si="99"/>
        <v/>
      </c>
      <c r="CC225" s="146" t="str">
        <f>_xlfn.IFNA(IF(INDEX(Producer!$P:$P,MATCH($D225,Producer!$A:$A,0))="Help to Buy","Only available","No"),"")</f>
        <v/>
      </c>
      <c r="CD225" s="146" t="str">
        <f>_xlfn.IFNA(IF(INDEX(Producer!$P:$P,MATCH($D225,Producer!$A:$A,0))="Shared Ownership","Only available","No"),"")</f>
        <v/>
      </c>
      <c r="CE225" s="146" t="str">
        <f>_xlfn.IFNA(IF(INDEX(Producer!$P:$P,MATCH($D225,Producer!$A:$A,0))="Right to Buy","Only available","No"),"")</f>
        <v/>
      </c>
      <c r="CF225" s="146" t="str">
        <f t="shared" si="100"/>
        <v/>
      </c>
      <c r="CG225" s="146" t="str">
        <f>_xlfn.IFNA(IF(INDEX(Producer!$P:$P,MATCH($D225,Producer!$A:$A,0))="Retirement Interest Only","Only available","No"),"")</f>
        <v/>
      </c>
      <c r="CH225" s="146" t="str">
        <f t="shared" si="101"/>
        <v/>
      </c>
      <c r="CI225" s="146" t="str">
        <f>_xlfn.IFNA(IF(INDEX(Producer!$P:$P,MATCH($D225,Producer!$A:$A,0))="Intermediary Holiday Let","Only available","No"),"")</f>
        <v/>
      </c>
      <c r="CJ225" s="146" t="str">
        <f t="shared" si="102"/>
        <v/>
      </c>
      <c r="CK225" s="146" t="str">
        <f>_xlfn.IFNA(IF(OR(INDEX(Producer!$P:$P,MATCH($D225,Producer!$A:$A,0))="Intermediary Small HMO",INDEX(Producer!$P:$P,MATCH($D225,Producer!$A:$A,0))="Intermediary Large HMO"),"Only available","No"),"")</f>
        <v/>
      </c>
      <c r="CL225" s="146" t="str">
        <f t="shared" si="103"/>
        <v/>
      </c>
      <c r="CM225" s="146" t="str">
        <f t="shared" si="104"/>
        <v/>
      </c>
      <c r="CN225" s="146" t="str">
        <f t="shared" si="105"/>
        <v/>
      </c>
      <c r="CO225" s="146" t="str">
        <f t="shared" si="106"/>
        <v/>
      </c>
      <c r="CP225" s="146" t="str">
        <f t="shared" si="107"/>
        <v/>
      </c>
      <c r="CQ225" s="146" t="str">
        <f t="shared" si="108"/>
        <v/>
      </c>
      <c r="CR225" s="146" t="str">
        <f t="shared" si="109"/>
        <v/>
      </c>
      <c r="CS225" s="146" t="str">
        <f t="shared" si="110"/>
        <v/>
      </c>
      <c r="CT225" s="146" t="str">
        <f t="shared" si="111"/>
        <v/>
      </c>
      <c r="CU225" s="146"/>
    </row>
    <row r="226" spans="1:99" ht="16.399999999999999" customHeight="1" x14ac:dyDescent="0.35">
      <c r="A226" s="145" t="str">
        <f t="shared" si="84"/>
        <v/>
      </c>
      <c r="B226" s="145" t="str">
        <f>_xlfn.IFNA(_xlfn.CONCAT(INDEX(Producer!$P:$P,MATCH($D226,Producer!$A:$A,0))," ",IF(INDEX(Producer!$N:$N,MATCH($D226,Producer!$A:$A,0))="Yes","Green ",""),IF(AND(INDEX(Producer!$L:$L,MATCH($D226,Producer!$A:$A,0))="No",INDEX(Producer!$C:$C,MATCH($D226,Producer!$A:$A,0))="Fixed"),"Flexit ",""),INDEX(Producer!$B:$B,MATCH($D226,Producer!$A:$A,0))," Year ",INDEX(Producer!$C:$C,MATCH($D226,Producer!$A:$A,0))," ",VALUE(INDEX(Producer!$E:$E,MATCH($D226,Producer!$A:$A,0)))*100,"% LTV",IF(INDEX(Producer!$N:$N,MATCH($D226,Producer!$A:$A,0))="Yes"," (EPC A-C)","")," - ",IF(INDEX(Producer!$D:$D,MATCH($D226,Producer!$A:$A,0))="DLY","Daily","Annual")),"")</f>
        <v/>
      </c>
      <c r="C226" s="146" t="str">
        <f>_xlfn.IFNA(INDEX(Producer!$Q:$Q,MATCH($D226,Producer!$A:$A,0)),"")</f>
        <v/>
      </c>
      <c r="D226" s="146" t="str">
        <f>IFERROR(VALUE(MID(Producer!$R$2,IF($D225="",1/0,FIND(_xlfn.CONCAT($D224,$D225),Producer!$R$2)+10),5)),"")</f>
        <v/>
      </c>
      <c r="E226" s="146" t="str">
        <f t="shared" si="85"/>
        <v/>
      </c>
      <c r="F226" s="146"/>
      <c r="G226" s="147" t="str">
        <f>_xlfn.IFNA(VALUE(INDEX(Producer!$F:$F,MATCH($D226,Producer!$A:$A,0)))*100,"")</f>
        <v/>
      </c>
      <c r="H226" s="216" t="str">
        <f>_xlfn.IFNA(IFERROR(DATEVALUE(INDEX(Producer!$M:$M,MATCH($D226,Producer!$A:$A,0))),(INDEX(Producer!$M:$M,MATCH($D226,Producer!$A:$A,0)))),"")</f>
        <v/>
      </c>
      <c r="I226" s="217" t="str">
        <f>_xlfn.IFNA(VALUE(INDEX(Producer!$B:$B,MATCH($D226,Producer!$A:$A,0)))*12,"")</f>
        <v/>
      </c>
      <c r="J226" s="146" t="str">
        <f>_xlfn.IFNA(IF(C226="Residential",IF(VALUE(INDEX(Producer!$B:$B,MATCH($D226,Producer!$A:$A,0)))&lt;5,Constants!$C$10,""),IF(VALUE(INDEX(Producer!$B:$B,MATCH($D226,Producer!$A:$A,0)))&lt;5,Constants!$C$11,"")),"")</f>
        <v/>
      </c>
      <c r="K226" s="216" t="str">
        <f>_xlfn.IFNA(IF(($I226)&lt;60,DATE(YEAR(H226)+(5-VALUE(INDEX(Producer!$B:$B,MATCH($D226,Producer!$A:$A,0)))),MONTH(H226),DAY(H226)),""),"")</f>
        <v/>
      </c>
      <c r="L226" s="153" t="str">
        <f t="shared" si="86"/>
        <v/>
      </c>
      <c r="M226" s="146"/>
      <c r="N226" s="148"/>
      <c r="O226" s="148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6"/>
      <c r="AK226" s="146" t="str">
        <f>IF(D226="","",IF(C226="Residential",Constants!$B$10,Constants!$B$11))</f>
        <v/>
      </c>
      <c r="AL226" s="146" t="str">
        <f t="shared" si="87"/>
        <v/>
      </c>
      <c r="AM226" s="206" t="str">
        <f t="shared" si="88"/>
        <v/>
      </c>
      <c r="AN226" s="146" t="str">
        <f t="shared" si="89"/>
        <v/>
      </c>
      <c r="AO226" s="149" t="str">
        <f t="shared" si="90"/>
        <v/>
      </c>
      <c r="AP226" s="150" t="str">
        <f t="shared" si="91"/>
        <v/>
      </c>
      <c r="AQ226" s="146" t="str">
        <f>IFERROR(_xlfn.IFNA(IF($BA226="No",0,IF(INDEX(Constants!B:B,MATCH(($I226/12),Constants!$A:$A,0))=0,0,INDEX(Constants!B:B,MATCH(($I226/12),Constants!$A:$A,0)))),0),"")</f>
        <v/>
      </c>
      <c r="AR226" s="146" t="str">
        <f>IFERROR(_xlfn.IFNA(IF($BA226="No",0,IF(INDEX(Constants!C:C,MATCH(($I226/12),Constants!$A:$A,0))=0,0,INDEX(Constants!C:C,MATCH(($I226/12),Constants!$A:$A,0)))),0),"")</f>
        <v/>
      </c>
      <c r="AS226" s="146" t="str">
        <f>IFERROR(_xlfn.IFNA(IF($BA226="No",0,IF(INDEX(Constants!D:D,MATCH(($I226/12),Constants!$A:$A,0))=0,0,INDEX(Constants!D:D,MATCH(($I226/12),Constants!$A:$A,0)))),0),"")</f>
        <v/>
      </c>
      <c r="AT226" s="146" t="str">
        <f>IFERROR(_xlfn.IFNA(IF($BA226="No",0,IF(INDEX(Constants!E:E,MATCH(($I226/12),Constants!$A:$A,0))=0,0,INDEX(Constants!E:E,MATCH(($I226/12),Constants!$A:$A,0)))),0),"")</f>
        <v/>
      </c>
      <c r="AU226" s="146" t="str">
        <f>IFERROR(_xlfn.IFNA(IF($BA226="No",0,IF(INDEX(Constants!F:F,MATCH(($I226/12),Constants!$A:$A,0))=0,0,INDEX(Constants!F:F,MATCH(($I226/12),Constants!$A:$A,0)))),0),"")</f>
        <v/>
      </c>
      <c r="AV226" s="146" t="str">
        <f>IFERROR(_xlfn.IFNA(IF($BA226="No",0,IF(INDEX(Constants!G:G,MATCH(($I226/12),Constants!$A:$A,0))=0,0,INDEX(Constants!G:G,MATCH(($I226/12),Constants!$A:$A,0)))),0),"")</f>
        <v/>
      </c>
      <c r="AW226" s="146" t="str">
        <f>IFERROR(_xlfn.IFNA(IF($BA226="No",0,IF(INDEX(Constants!H:H,MATCH(($I226/12),Constants!$A:$A,0))=0,0,INDEX(Constants!H:H,MATCH(($I226/12),Constants!$A:$A,0)))),0),"")</f>
        <v/>
      </c>
      <c r="AX226" s="146" t="str">
        <f>IFERROR(_xlfn.IFNA(IF($BA226="No",0,IF(INDEX(Constants!I:I,MATCH(($I226/12),Constants!$A:$A,0))=0,0,INDEX(Constants!I:I,MATCH(($I226/12),Constants!$A:$A,0)))),0),"")</f>
        <v/>
      </c>
      <c r="AY226" s="146" t="str">
        <f>IFERROR(_xlfn.IFNA(IF($BA226="No",0,IF(INDEX(Constants!J:J,MATCH(($I226/12),Constants!$A:$A,0))=0,0,INDEX(Constants!J:J,MATCH(($I226/12),Constants!$A:$A,0)))),0),"")</f>
        <v/>
      </c>
      <c r="AZ226" s="146" t="str">
        <f>IFERROR(_xlfn.IFNA(IF($BA226="No",0,IF(INDEX(Constants!K:K,MATCH(($I226/12),Constants!$A:$A,0))=0,0,INDEX(Constants!K:K,MATCH(($I226/12),Constants!$A:$A,0)))),0),"")</f>
        <v/>
      </c>
      <c r="BA226" s="147" t="str">
        <f>_xlfn.IFNA(INDEX(Producer!$L:$L,MATCH($D226,Producer!$A:$A,0)),"")</f>
        <v/>
      </c>
      <c r="BB226" s="146" t="str">
        <f>IFERROR(IF(AQ226=0,"",IF(($I226/12)=15,_xlfn.CONCAT(Constants!$N$7,TEXT(DATE(YEAR(H226)-(($I226/12)-3),MONTH(H226),DAY(H226)),"dd/mm/yyyy"),", ",Constants!$P$7,TEXT(DATE(YEAR(H226)-(($I226/12)-8),MONTH(H226),DAY(H226)),"dd/mm/yyyy"),", ",Constants!$T$7,TEXT(DATE(YEAR(H226)-(($I226/12)-11),MONTH(H226),DAY(H226)),"dd/mm/yyyy"),", ",Constants!$V$7,TEXT(DATE(YEAR(H226)-(($I226/12)-13),MONTH(H226),DAY(H226)),"dd/mm/yyyy"),", ",Constants!$W$7,TEXT($H226,"dd/mm/yyyy")),IF(($I226/12)=10,_xlfn.CONCAT(Constants!$N$6,TEXT(DATE(YEAR(H226)-(($I226/12)-2),MONTH(H226),DAY(H226)),"dd/mm/yyyy"),", ",Constants!$P$6,TEXT(DATE(YEAR(H226)-(($I226/12)-6),MONTH(H226),DAY(H226)),"dd/mm/yyyy"),", ",Constants!$T$6,TEXT(DATE(YEAR(H226)-(($I226/12)-8),MONTH(H226),DAY(H226)),"dd/mm/yyyy"),", ",Constants!$V$6,TEXT(DATE(YEAR(H226)-(($I226/12)-9),MONTH(H226),DAY(H226)),"dd/mm/yyyy"),", ",Constants!$W$6,TEXT($H226,"dd/mm/yyyy")),IF(($I226/12)=5,_xlfn.CONCAT(Constants!$N$5,TEXT(DATE(YEAR(H226)-(($I226/12)-1),MONTH(H226),DAY(H226)),"dd/mm/yyyy"),", ",Constants!$O$5,TEXT(DATE(YEAR(H226)-(($I226/12)-2),MONTH(H226),DAY(H226)),"dd/mm/yyyy"),", ",Constants!$P$5,TEXT(DATE(YEAR(H226)-(($I226/12)-3),MONTH(H226),DAY(H226)),"dd/mm/yyyy"),", ",Constants!$Q$5,TEXT(DATE(YEAR(H226)-(($I226/12)-4),MONTH(H226),DAY(H226)),"dd/mm/yyyy"),", ",Constants!$R$5,TEXT($H226,"dd/mm/yyyy")),IF(($I226/12)=3,_xlfn.CONCAT(Constants!$N$4,TEXT(DATE(YEAR(H226)-(($I226/12)-1),MONTH(H226),DAY(H226)),"dd/mm/yyyy"),", ",Constants!$O$4,TEXT(DATE(YEAR(H226)-(($I226/12)-2),MONTH(H226),DAY(H226)),"dd/mm/yyyy"),", ",Constants!$P$4,TEXT($H226,"dd/mm/yyyy")),IF(($I226/12)=2,_xlfn.CONCAT(Constants!$N$3,TEXT(DATE(YEAR(H226)-(($I226/12)-1),MONTH(H226),DAY(H226)),"dd/mm/yyyy"),", ",Constants!$O$3,TEXT($H226,"dd/mm/yyyy")),IF(($I226/12)=1,_xlfn.CONCAT(Constants!$N$2,TEXT($H226,"dd/mm/yyyy")),"Update Constants"))))))),"")</f>
        <v/>
      </c>
      <c r="BC226" s="147" t="str">
        <f>_xlfn.IFNA(VALUE(INDEX(Producer!$K:$K,MATCH($D226,Producer!$A:$A,0))),"")</f>
        <v/>
      </c>
      <c r="BD226" s="147" t="str">
        <f>_xlfn.IFNA(INDEX(Producer!$I:$I,MATCH($D226,Producer!$A:$A,0)),"")</f>
        <v/>
      </c>
      <c r="BE226" s="147" t="str">
        <f t="shared" si="92"/>
        <v/>
      </c>
      <c r="BF226" s="147"/>
      <c r="BG226" s="147"/>
      <c r="BH226" s="151" t="str">
        <f>_xlfn.IFNA(INDEX(Constants!$B:$B,MATCH(BC226,Constants!A:A,0)),"")</f>
        <v/>
      </c>
      <c r="BI226" s="147" t="str">
        <f>IF(LEFT(B226,15)="Limited Company",Constants!$D$16,IFERROR(_xlfn.IFNA(IF(C226="Residential",IF(BK226&lt;75,INDEX(Constants!$B:$B,MATCH(VALUE(60)/100,Constants!$A:$A,0)),INDEX(Constants!$B:$B,MATCH(VALUE(BK226)/100,Constants!$A:$A,0))),IF(BK226&lt;60,INDEX(Constants!$C:$C,MATCH(VALUE(60)/100,Constants!$A:$A,0)),INDEX(Constants!$C:$C,MATCH(VALUE(BK226)/100,Constants!$A:$A,0)))),""),""))</f>
        <v/>
      </c>
      <c r="BJ226" s="147" t="str">
        <f t="shared" si="93"/>
        <v/>
      </c>
      <c r="BK226" s="147" t="str">
        <f>_xlfn.IFNA(VALUE(INDEX(Producer!$E:$E,MATCH($D226,Producer!$A:$A,0)))*100,"")</f>
        <v/>
      </c>
      <c r="BL226" s="146" t="str">
        <f>_xlfn.IFNA(IF(IFERROR(FIND("Part &amp; Part",B226),-10)&gt;0,"PP",IF(OR(LEFT(B226,25)="Residential Interest Only",INDEX(Producer!$P:$P,MATCH($D226,Producer!$A:$A,0))="IO",INDEX(Producer!$P:$P,MATCH($D226,Producer!$A:$A,0))="Retirement Interest Only"),"IO",IF($C226="BuyToLet","CI, IO","CI"))),"")</f>
        <v/>
      </c>
      <c r="BM226" s="152" t="str">
        <f>_xlfn.IFNA(IF(BL226="IO",100%,IF(AND(INDEX(Producer!$P:$P,MATCH($D226,Producer!$A:$A,0))="Residential Interest Only Part &amp; Part",BK226=75),80%,IF(C226="BuyToLet",100%,IF(BL226="Interest Only",100%,IF(AND(INDEX(Producer!$P:$P,MATCH($D226,Producer!$A:$A,0))="Residential Interest Only Part &amp; Part",BK226=60),100%,""))))),"")</f>
        <v/>
      </c>
      <c r="BN226" s="218" t="str">
        <f>_xlfn.IFNA(IF(VALUE(INDEX(Producer!$H:$H,MATCH($D226,Producer!$A:$A,0)))=0,"",VALUE(INDEX(Producer!$H:$H,MATCH($D226,Producer!$A:$A,0)))),"")</f>
        <v/>
      </c>
      <c r="BO226" s="153"/>
      <c r="BP226" s="153"/>
      <c r="BQ226" s="219" t="str">
        <f t="shared" si="94"/>
        <v/>
      </c>
      <c r="BR226" s="146"/>
      <c r="BS226" s="146"/>
      <c r="BT226" s="146"/>
      <c r="BU226" s="146"/>
      <c r="BV226" s="219" t="str">
        <f t="shared" si="95"/>
        <v/>
      </c>
      <c r="BW226" s="146"/>
      <c r="BX226" s="146"/>
      <c r="BY226" s="146" t="str">
        <f t="shared" si="96"/>
        <v/>
      </c>
      <c r="BZ226" s="146" t="str">
        <f t="shared" si="97"/>
        <v/>
      </c>
      <c r="CA226" s="146" t="str">
        <f t="shared" si="98"/>
        <v/>
      </c>
      <c r="CB226" s="146" t="str">
        <f t="shared" si="99"/>
        <v/>
      </c>
      <c r="CC226" s="146" t="str">
        <f>_xlfn.IFNA(IF(INDEX(Producer!$P:$P,MATCH($D226,Producer!$A:$A,0))="Help to Buy","Only available","No"),"")</f>
        <v/>
      </c>
      <c r="CD226" s="146" t="str">
        <f>_xlfn.IFNA(IF(INDEX(Producer!$P:$P,MATCH($D226,Producer!$A:$A,0))="Shared Ownership","Only available","No"),"")</f>
        <v/>
      </c>
      <c r="CE226" s="146" t="str">
        <f>_xlfn.IFNA(IF(INDEX(Producer!$P:$P,MATCH($D226,Producer!$A:$A,0))="Right to Buy","Only available","No"),"")</f>
        <v/>
      </c>
      <c r="CF226" s="146" t="str">
        <f t="shared" si="100"/>
        <v/>
      </c>
      <c r="CG226" s="146" t="str">
        <f>_xlfn.IFNA(IF(INDEX(Producer!$P:$P,MATCH($D226,Producer!$A:$A,0))="Retirement Interest Only","Only available","No"),"")</f>
        <v/>
      </c>
      <c r="CH226" s="146" t="str">
        <f t="shared" si="101"/>
        <v/>
      </c>
      <c r="CI226" s="146" t="str">
        <f>_xlfn.IFNA(IF(INDEX(Producer!$P:$P,MATCH($D226,Producer!$A:$A,0))="Intermediary Holiday Let","Only available","No"),"")</f>
        <v/>
      </c>
      <c r="CJ226" s="146" t="str">
        <f t="shared" si="102"/>
        <v/>
      </c>
      <c r="CK226" s="146" t="str">
        <f>_xlfn.IFNA(IF(OR(INDEX(Producer!$P:$P,MATCH($D226,Producer!$A:$A,0))="Intermediary Small HMO",INDEX(Producer!$P:$P,MATCH($D226,Producer!$A:$A,0))="Intermediary Large HMO"),"Only available","No"),"")</f>
        <v/>
      </c>
      <c r="CL226" s="146" t="str">
        <f t="shared" si="103"/>
        <v/>
      </c>
      <c r="CM226" s="146" t="str">
        <f t="shared" si="104"/>
        <v/>
      </c>
      <c r="CN226" s="146" t="str">
        <f t="shared" si="105"/>
        <v/>
      </c>
      <c r="CO226" s="146" t="str">
        <f t="shared" si="106"/>
        <v/>
      </c>
      <c r="CP226" s="146" t="str">
        <f t="shared" si="107"/>
        <v/>
      </c>
      <c r="CQ226" s="146" t="str">
        <f t="shared" si="108"/>
        <v/>
      </c>
      <c r="CR226" s="146" t="str">
        <f t="shared" si="109"/>
        <v/>
      </c>
      <c r="CS226" s="146" t="str">
        <f t="shared" si="110"/>
        <v/>
      </c>
      <c r="CT226" s="146" t="str">
        <f t="shared" si="111"/>
        <v/>
      </c>
      <c r="CU226" s="146"/>
    </row>
    <row r="227" spans="1:99" ht="16.399999999999999" customHeight="1" x14ac:dyDescent="0.35">
      <c r="A227" s="145" t="str">
        <f t="shared" si="84"/>
        <v/>
      </c>
      <c r="B227" s="145" t="str">
        <f>_xlfn.IFNA(_xlfn.CONCAT(INDEX(Producer!$P:$P,MATCH($D227,Producer!$A:$A,0))," ",IF(INDEX(Producer!$N:$N,MATCH($D227,Producer!$A:$A,0))="Yes","Green ",""),IF(AND(INDEX(Producer!$L:$L,MATCH($D227,Producer!$A:$A,0))="No",INDEX(Producer!$C:$C,MATCH($D227,Producer!$A:$A,0))="Fixed"),"Flexit ",""),INDEX(Producer!$B:$B,MATCH($D227,Producer!$A:$A,0))," Year ",INDEX(Producer!$C:$C,MATCH($D227,Producer!$A:$A,0))," ",VALUE(INDEX(Producer!$E:$E,MATCH($D227,Producer!$A:$A,0)))*100,"% LTV",IF(INDEX(Producer!$N:$N,MATCH($D227,Producer!$A:$A,0))="Yes"," (EPC A-C)","")," - ",IF(INDEX(Producer!$D:$D,MATCH($D227,Producer!$A:$A,0))="DLY","Daily","Annual")),"")</f>
        <v/>
      </c>
      <c r="C227" s="146" t="str">
        <f>_xlfn.IFNA(INDEX(Producer!$Q:$Q,MATCH($D227,Producer!$A:$A,0)),"")</f>
        <v/>
      </c>
      <c r="D227" s="146" t="str">
        <f>IFERROR(VALUE(MID(Producer!$R$2,IF($D226="",1/0,FIND(_xlfn.CONCAT($D225,$D226),Producer!$R$2)+10),5)),"")</f>
        <v/>
      </c>
      <c r="E227" s="146" t="str">
        <f t="shared" si="85"/>
        <v/>
      </c>
      <c r="F227" s="146"/>
      <c r="G227" s="147" t="str">
        <f>_xlfn.IFNA(VALUE(INDEX(Producer!$F:$F,MATCH($D227,Producer!$A:$A,0)))*100,"")</f>
        <v/>
      </c>
      <c r="H227" s="216" t="str">
        <f>_xlfn.IFNA(IFERROR(DATEVALUE(INDEX(Producer!$M:$M,MATCH($D227,Producer!$A:$A,0))),(INDEX(Producer!$M:$M,MATCH($D227,Producer!$A:$A,0)))),"")</f>
        <v/>
      </c>
      <c r="I227" s="217" t="str">
        <f>_xlfn.IFNA(VALUE(INDEX(Producer!$B:$B,MATCH($D227,Producer!$A:$A,0)))*12,"")</f>
        <v/>
      </c>
      <c r="J227" s="146" t="str">
        <f>_xlfn.IFNA(IF(C227="Residential",IF(VALUE(INDEX(Producer!$B:$B,MATCH($D227,Producer!$A:$A,0)))&lt;5,Constants!$C$10,""),IF(VALUE(INDEX(Producer!$B:$B,MATCH($D227,Producer!$A:$A,0)))&lt;5,Constants!$C$11,"")),"")</f>
        <v/>
      </c>
      <c r="K227" s="216" t="str">
        <f>_xlfn.IFNA(IF(($I227)&lt;60,DATE(YEAR(H227)+(5-VALUE(INDEX(Producer!$B:$B,MATCH($D227,Producer!$A:$A,0)))),MONTH(H227),DAY(H227)),""),"")</f>
        <v/>
      </c>
      <c r="L227" s="153" t="str">
        <f t="shared" si="86"/>
        <v/>
      </c>
      <c r="M227" s="146"/>
      <c r="N227" s="148"/>
      <c r="O227" s="148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146"/>
      <c r="AK227" s="146" t="str">
        <f>IF(D227="","",IF(C227="Residential",Constants!$B$10,Constants!$B$11))</f>
        <v/>
      </c>
      <c r="AL227" s="146" t="str">
        <f t="shared" si="87"/>
        <v/>
      </c>
      <c r="AM227" s="206" t="str">
        <f t="shared" si="88"/>
        <v/>
      </c>
      <c r="AN227" s="146" t="str">
        <f t="shared" si="89"/>
        <v/>
      </c>
      <c r="AO227" s="149" t="str">
        <f t="shared" si="90"/>
        <v/>
      </c>
      <c r="AP227" s="150" t="str">
        <f t="shared" si="91"/>
        <v/>
      </c>
      <c r="AQ227" s="146" t="str">
        <f>IFERROR(_xlfn.IFNA(IF($BA227="No",0,IF(INDEX(Constants!B:B,MATCH(($I227/12),Constants!$A:$A,0))=0,0,INDEX(Constants!B:B,MATCH(($I227/12),Constants!$A:$A,0)))),0),"")</f>
        <v/>
      </c>
      <c r="AR227" s="146" t="str">
        <f>IFERROR(_xlfn.IFNA(IF($BA227="No",0,IF(INDEX(Constants!C:C,MATCH(($I227/12),Constants!$A:$A,0))=0,0,INDEX(Constants!C:C,MATCH(($I227/12),Constants!$A:$A,0)))),0),"")</f>
        <v/>
      </c>
      <c r="AS227" s="146" t="str">
        <f>IFERROR(_xlfn.IFNA(IF($BA227="No",0,IF(INDEX(Constants!D:D,MATCH(($I227/12),Constants!$A:$A,0))=0,0,INDEX(Constants!D:D,MATCH(($I227/12),Constants!$A:$A,0)))),0),"")</f>
        <v/>
      </c>
      <c r="AT227" s="146" t="str">
        <f>IFERROR(_xlfn.IFNA(IF($BA227="No",0,IF(INDEX(Constants!E:E,MATCH(($I227/12),Constants!$A:$A,0))=0,0,INDEX(Constants!E:E,MATCH(($I227/12),Constants!$A:$A,0)))),0),"")</f>
        <v/>
      </c>
      <c r="AU227" s="146" t="str">
        <f>IFERROR(_xlfn.IFNA(IF($BA227="No",0,IF(INDEX(Constants!F:F,MATCH(($I227/12),Constants!$A:$A,0))=0,0,INDEX(Constants!F:F,MATCH(($I227/12),Constants!$A:$A,0)))),0),"")</f>
        <v/>
      </c>
      <c r="AV227" s="146" t="str">
        <f>IFERROR(_xlfn.IFNA(IF($BA227="No",0,IF(INDEX(Constants!G:G,MATCH(($I227/12),Constants!$A:$A,0))=0,0,INDEX(Constants!G:G,MATCH(($I227/12),Constants!$A:$A,0)))),0),"")</f>
        <v/>
      </c>
      <c r="AW227" s="146" t="str">
        <f>IFERROR(_xlfn.IFNA(IF($BA227="No",0,IF(INDEX(Constants!H:H,MATCH(($I227/12),Constants!$A:$A,0))=0,0,INDEX(Constants!H:H,MATCH(($I227/12),Constants!$A:$A,0)))),0),"")</f>
        <v/>
      </c>
      <c r="AX227" s="146" t="str">
        <f>IFERROR(_xlfn.IFNA(IF($BA227="No",0,IF(INDEX(Constants!I:I,MATCH(($I227/12),Constants!$A:$A,0))=0,0,INDEX(Constants!I:I,MATCH(($I227/12),Constants!$A:$A,0)))),0),"")</f>
        <v/>
      </c>
      <c r="AY227" s="146" t="str">
        <f>IFERROR(_xlfn.IFNA(IF($BA227="No",0,IF(INDEX(Constants!J:J,MATCH(($I227/12),Constants!$A:$A,0))=0,0,INDEX(Constants!J:J,MATCH(($I227/12),Constants!$A:$A,0)))),0),"")</f>
        <v/>
      </c>
      <c r="AZ227" s="146" t="str">
        <f>IFERROR(_xlfn.IFNA(IF($BA227="No",0,IF(INDEX(Constants!K:K,MATCH(($I227/12),Constants!$A:$A,0))=0,0,INDEX(Constants!K:K,MATCH(($I227/12),Constants!$A:$A,0)))),0),"")</f>
        <v/>
      </c>
      <c r="BA227" s="147" t="str">
        <f>_xlfn.IFNA(INDEX(Producer!$L:$L,MATCH($D227,Producer!$A:$A,0)),"")</f>
        <v/>
      </c>
      <c r="BB227" s="146" t="str">
        <f>IFERROR(IF(AQ227=0,"",IF(($I227/12)=15,_xlfn.CONCAT(Constants!$N$7,TEXT(DATE(YEAR(H227)-(($I227/12)-3),MONTH(H227),DAY(H227)),"dd/mm/yyyy"),", ",Constants!$P$7,TEXT(DATE(YEAR(H227)-(($I227/12)-8),MONTH(H227),DAY(H227)),"dd/mm/yyyy"),", ",Constants!$T$7,TEXT(DATE(YEAR(H227)-(($I227/12)-11),MONTH(H227),DAY(H227)),"dd/mm/yyyy"),", ",Constants!$V$7,TEXT(DATE(YEAR(H227)-(($I227/12)-13),MONTH(H227),DAY(H227)),"dd/mm/yyyy"),", ",Constants!$W$7,TEXT($H227,"dd/mm/yyyy")),IF(($I227/12)=10,_xlfn.CONCAT(Constants!$N$6,TEXT(DATE(YEAR(H227)-(($I227/12)-2),MONTH(H227),DAY(H227)),"dd/mm/yyyy"),", ",Constants!$P$6,TEXT(DATE(YEAR(H227)-(($I227/12)-6),MONTH(H227),DAY(H227)),"dd/mm/yyyy"),", ",Constants!$T$6,TEXT(DATE(YEAR(H227)-(($I227/12)-8),MONTH(H227),DAY(H227)),"dd/mm/yyyy"),", ",Constants!$V$6,TEXT(DATE(YEAR(H227)-(($I227/12)-9),MONTH(H227),DAY(H227)),"dd/mm/yyyy"),", ",Constants!$W$6,TEXT($H227,"dd/mm/yyyy")),IF(($I227/12)=5,_xlfn.CONCAT(Constants!$N$5,TEXT(DATE(YEAR(H227)-(($I227/12)-1),MONTH(H227),DAY(H227)),"dd/mm/yyyy"),", ",Constants!$O$5,TEXT(DATE(YEAR(H227)-(($I227/12)-2),MONTH(H227),DAY(H227)),"dd/mm/yyyy"),", ",Constants!$P$5,TEXT(DATE(YEAR(H227)-(($I227/12)-3),MONTH(H227),DAY(H227)),"dd/mm/yyyy"),", ",Constants!$Q$5,TEXT(DATE(YEAR(H227)-(($I227/12)-4),MONTH(H227),DAY(H227)),"dd/mm/yyyy"),", ",Constants!$R$5,TEXT($H227,"dd/mm/yyyy")),IF(($I227/12)=3,_xlfn.CONCAT(Constants!$N$4,TEXT(DATE(YEAR(H227)-(($I227/12)-1),MONTH(H227),DAY(H227)),"dd/mm/yyyy"),", ",Constants!$O$4,TEXT(DATE(YEAR(H227)-(($I227/12)-2),MONTH(H227),DAY(H227)),"dd/mm/yyyy"),", ",Constants!$P$4,TEXT($H227,"dd/mm/yyyy")),IF(($I227/12)=2,_xlfn.CONCAT(Constants!$N$3,TEXT(DATE(YEAR(H227)-(($I227/12)-1),MONTH(H227),DAY(H227)),"dd/mm/yyyy"),", ",Constants!$O$3,TEXT($H227,"dd/mm/yyyy")),IF(($I227/12)=1,_xlfn.CONCAT(Constants!$N$2,TEXT($H227,"dd/mm/yyyy")),"Update Constants"))))))),"")</f>
        <v/>
      </c>
      <c r="BC227" s="147" t="str">
        <f>_xlfn.IFNA(VALUE(INDEX(Producer!$K:$K,MATCH($D227,Producer!$A:$A,0))),"")</f>
        <v/>
      </c>
      <c r="BD227" s="147" t="str">
        <f>_xlfn.IFNA(INDEX(Producer!$I:$I,MATCH($D227,Producer!$A:$A,0)),"")</f>
        <v/>
      </c>
      <c r="BE227" s="147" t="str">
        <f t="shared" si="92"/>
        <v/>
      </c>
      <c r="BF227" s="147"/>
      <c r="BG227" s="147"/>
      <c r="BH227" s="151" t="str">
        <f>_xlfn.IFNA(INDEX(Constants!$B:$B,MATCH(BC227,Constants!A:A,0)),"")</f>
        <v/>
      </c>
      <c r="BI227" s="147" t="str">
        <f>IF(LEFT(B227,15)="Limited Company",Constants!$D$16,IFERROR(_xlfn.IFNA(IF(C227="Residential",IF(BK227&lt;75,INDEX(Constants!$B:$B,MATCH(VALUE(60)/100,Constants!$A:$A,0)),INDEX(Constants!$B:$B,MATCH(VALUE(BK227)/100,Constants!$A:$A,0))),IF(BK227&lt;60,INDEX(Constants!$C:$C,MATCH(VALUE(60)/100,Constants!$A:$A,0)),INDEX(Constants!$C:$C,MATCH(VALUE(BK227)/100,Constants!$A:$A,0)))),""),""))</f>
        <v/>
      </c>
      <c r="BJ227" s="147" t="str">
        <f t="shared" si="93"/>
        <v/>
      </c>
      <c r="BK227" s="147" t="str">
        <f>_xlfn.IFNA(VALUE(INDEX(Producer!$E:$E,MATCH($D227,Producer!$A:$A,0)))*100,"")</f>
        <v/>
      </c>
      <c r="BL227" s="146" t="str">
        <f>_xlfn.IFNA(IF(IFERROR(FIND("Part &amp; Part",B227),-10)&gt;0,"PP",IF(OR(LEFT(B227,25)="Residential Interest Only",INDEX(Producer!$P:$P,MATCH($D227,Producer!$A:$A,0))="IO",INDEX(Producer!$P:$P,MATCH($D227,Producer!$A:$A,0))="Retirement Interest Only"),"IO",IF($C227="BuyToLet","CI, IO","CI"))),"")</f>
        <v/>
      </c>
      <c r="BM227" s="152" t="str">
        <f>_xlfn.IFNA(IF(BL227="IO",100%,IF(AND(INDEX(Producer!$P:$P,MATCH($D227,Producer!$A:$A,0))="Residential Interest Only Part &amp; Part",BK227=75),80%,IF(C227="BuyToLet",100%,IF(BL227="Interest Only",100%,IF(AND(INDEX(Producer!$P:$P,MATCH($D227,Producer!$A:$A,0))="Residential Interest Only Part &amp; Part",BK227=60),100%,""))))),"")</f>
        <v/>
      </c>
      <c r="BN227" s="218" t="str">
        <f>_xlfn.IFNA(IF(VALUE(INDEX(Producer!$H:$H,MATCH($D227,Producer!$A:$A,0)))=0,"",VALUE(INDEX(Producer!$H:$H,MATCH($D227,Producer!$A:$A,0)))),"")</f>
        <v/>
      </c>
      <c r="BO227" s="153"/>
      <c r="BP227" s="153"/>
      <c r="BQ227" s="219" t="str">
        <f t="shared" si="94"/>
        <v/>
      </c>
      <c r="BR227" s="146"/>
      <c r="BS227" s="146"/>
      <c r="BT227" s="146"/>
      <c r="BU227" s="146"/>
      <c r="BV227" s="219" t="str">
        <f t="shared" si="95"/>
        <v/>
      </c>
      <c r="BW227" s="146"/>
      <c r="BX227" s="146"/>
      <c r="BY227" s="146" t="str">
        <f t="shared" si="96"/>
        <v/>
      </c>
      <c r="BZ227" s="146" t="str">
        <f t="shared" si="97"/>
        <v/>
      </c>
      <c r="CA227" s="146" t="str">
        <f t="shared" si="98"/>
        <v/>
      </c>
      <c r="CB227" s="146" t="str">
        <f t="shared" si="99"/>
        <v/>
      </c>
      <c r="CC227" s="146" t="str">
        <f>_xlfn.IFNA(IF(INDEX(Producer!$P:$P,MATCH($D227,Producer!$A:$A,0))="Help to Buy","Only available","No"),"")</f>
        <v/>
      </c>
      <c r="CD227" s="146" t="str">
        <f>_xlfn.IFNA(IF(INDEX(Producer!$P:$P,MATCH($D227,Producer!$A:$A,0))="Shared Ownership","Only available","No"),"")</f>
        <v/>
      </c>
      <c r="CE227" s="146" t="str">
        <f>_xlfn.IFNA(IF(INDEX(Producer!$P:$P,MATCH($D227,Producer!$A:$A,0))="Right to Buy","Only available","No"),"")</f>
        <v/>
      </c>
      <c r="CF227" s="146" t="str">
        <f t="shared" si="100"/>
        <v/>
      </c>
      <c r="CG227" s="146" t="str">
        <f>_xlfn.IFNA(IF(INDEX(Producer!$P:$P,MATCH($D227,Producer!$A:$A,0))="Retirement Interest Only","Only available","No"),"")</f>
        <v/>
      </c>
      <c r="CH227" s="146" t="str">
        <f t="shared" si="101"/>
        <v/>
      </c>
      <c r="CI227" s="146" t="str">
        <f>_xlfn.IFNA(IF(INDEX(Producer!$P:$P,MATCH($D227,Producer!$A:$A,0))="Intermediary Holiday Let","Only available","No"),"")</f>
        <v/>
      </c>
      <c r="CJ227" s="146" t="str">
        <f t="shared" si="102"/>
        <v/>
      </c>
      <c r="CK227" s="146" t="str">
        <f>_xlfn.IFNA(IF(OR(INDEX(Producer!$P:$P,MATCH($D227,Producer!$A:$A,0))="Intermediary Small HMO",INDEX(Producer!$P:$P,MATCH($D227,Producer!$A:$A,0))="Intermediary Large HMO"),"Only available","No"),"")</f>
        <v/>
      </c>
      <c r="CL227" s="146" t="str">
        <f t="shared" si="103"/>
        <v/>
      </c>
      <c r="CM227" s="146" t="str">
        <f t="shared" si="104"/>
        <v/>
      </c>
      <c r="CN227" s="146" t="str">
        <f t="shared" si="105"/>
        <v/>
      </c>
      <c r="CO227" s="146" t="str">
        <f t="shared" si="106"/>
        <v/>
      </c>
      <c r="CP227" s="146" t="str">
        <f t="shared" si="107"/>
        <v/>
      </c>
      <c r="CQ227" s="146" t="str">
        <f t="shared" si="108"/>
        <v/>
      </c>
      <c r="CR227" s="146" t="str">
        <f t="shared" si="109"/>
        <v/>
      </c>
      <c r="CS227" s="146" t="str">
        <f t="shared" si="110"/>
        <v/>
      </c>
      <c r="CT227" s="146" t="str">
        <f t="shared" si="111"/>
        <v/>
      </c>
      <c r="CU227" s="146"/>
    </row>
    <row r="228" spans="1:99" ht="16.399999999999999" customHeight="1" x14ac:dyDescent="0.35">
      <c r="A228" s="145" t="str">
        <f t="shared" si="84"/>
        <v/>
      </c>
      <c r="B228" s="145" t="str">
        <f>_xlfn.IFNA(_xlfn.CONCAT(INDEX(Producer!$P:$P,MATCH($D228,Producer!$A:$A,0))," ",IF(INDEX(Producer!$N:$N,MATCH($D228,Producer!$A:$A,0))="Yes","Green ",""),IF(AND(INDEX(Producer!$L:$L,MATCH($D228,Producer!$A:$A,0))="No",INDEX(Producer!$C:$C,MATCH($D228,Producer!$A:$A,0))="Fixed"),"Flexit ",""),INDEX(Producer!$B:$B,MATCH($D228,Producer!$A:$A,0))," Year ",INDEX(Producer!$C:$C,MATCH($D228,Producer!$A:$A,0))," ",VALUE(INDEX(Producer!$E:$E,MATCH($D228,Producer!$A:$A,0)))*100,"% LTV",IF(INDEX(Producer!$N:$N,MATCH($D228,Producer!$A:$A,0))="Yes"," (EPC A-C)","")," - ",IF(INDEX(Producer!$D:$D,MATCH($D228,Producer!$A:$A,0))="DLY","Daily","Annual")),"")</f>
        <v/>
      </c>
      <c r="C228" s="146" t="str">
        <f>_xlfn.IFNA(INDEX(Producer!$Q:$Q,MATCH($D228,Producer!$A:$A,0)),"")</f>
        <v/>
      </c>
      <c r="D228" s="146" t="str">
        <f>IFERROR(VALUE(MID(Producer!$R$2,IF($D227="",1/0,FIND(_xlfn.CONCAT($D226,$D227),Producer!$R$2)+10),5)),"")</f>
        <v/>
      </c>
      <c r="E228" s="146" t="str">
        <f t="shared" si="85"/>
        <v/>
      </c>
      <c r="F228" s="146"/>
      <c r="G228" s="147" t="str">
        <f>_xlfn.IFNA(VALUE(INDEX(Producer!$F:$F,MATCH($D228,Producer!$A:$A,0)))*100,"")</f>
        <v/>
      </c>
      <c r="H228" s="216" t="str">
        <f>_xlfn.IFNA(IFERROR(DATEVALUE(INDEX(Producer!$M:$M,MATCH($D228,Producer!$A:$A,0))),(INDEX(Producer!$M:$M,MATCH($D228,Producer!$A:$A,0)))),"")</f>
        <v/>
      </c>
      <c r="I228" s="217" t="str">
        <f>_xlfn.IFNA(VALUE(INDEX(Producer!$B:$B,MATCH($D228,Producer!$A:$A,0)))*12,"")</f>
        <v/>
      </c>
      <c r="J228" s="146" t="str">
        <f>_xlfn.IFNA(IF(C228="Residential",IF(VALUE(INDEX(Producer!$B:$B,MATCH($D228,Producer!$A:$A,0)))&lt;5,Constants!$C$10,""),IF(VALUE(INDEX(Producer!$B:$B,MATCH($D228,Producer!$A:$A,0)))&lt;5,Constants!$C$11,"")),"")</f>
        <v/>
      </c>
      <c r="K228" s="216" t="str">
        <f>_xlfn.IFNA(IF(($I228)&lt;60,DATE(YEAR(H228)+(5-VALUE(INDEX(Producer!$B:$B,MATCH($D228,Producer!$A:$A,0)))),MONTH(H228),DAY(H228)),""),"")</f>
        <v/>
      </c>
      <c r="L228" s="153" t="str">
        <f t="shared" si="86"/>
        <v/>
      </c>
      <c r="M228" s="146"/>
      <c r="N228" s="148"/>
      <c r="O228" s="148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46"/>
      <c r="AD228" s="146"/>
      <c r="AE228" s="146"/>
      <c r="AF228" s="146"/>
      <c r="AG228" s="146"/>
      <c r="AH228" s="146"/>
      <c r="AI228" s="146"/>
      <c r="AJ228" s="146"/>
      <c r="AK228" s="146" t="str">
        <f>IF(D228="","",IF(C228="Residential",Constants!$B$10,Constants!$B$11))</f>
        <v/>
      </c>
      <c r="AL228" s="146" t="str">
        <f t="shared" si="87"/>
        <v/>
      </c>
      <c r="AM228" s="206" t="str">
        <f t="shared" si="88"/>
        <v/>
      </c>
      <c r="AN228" s="146" t="str">
        <f t="shared" si="89"/>
        <v/>
      </c>
      <c r="AO228" s="149" t="str">
        <f t="shared" si="90"/>
        <v/>
      </c>
      <c r="AP228" s="150" t="str">
        <f t="shared" si="91"/>
        <v/>
      </c>
      <c r="AQ228" s="146" t="str">
        <f>IFERROR(_xlfn.IFNA(IF($BA228="No",0,IF(INDEX(Constants!B:B,MATCH(($I228/12),Constants!$A:$A,0))=0,0,INDEX(Constants!B:B,MATCH(($I228/12),Constants!$A:$A,0)))),0),"")</f>
        <v/>
      </c>
      <c r="AR228" s="146" t="str">
        <f>IFERROR(_xlfn.IFNA(IF($BA228="No",0,IF(INDEX(Constants!C:C,MATCH(($I228/12),Constants!$A:$A,0))=0,0,INDEX(Constants!C:C,MATCH(($I228/12),Constants!$A:$A,0)))),0),"")</f>
        <v/>
      </c>
      <c r="AS228" s="146" t="str">
        <f>IFERROR(_xlfn.IFNA(IF($BA228="No",0,IF(INDEX(Constants!D:D,MATCH(($I228/12),Constants!$A:$A,0))=0,0,INDEX(Constants!D:D,MATCH(($I228/12),Constants!$A:$A,0)))),0),"")</f>
        <v/>
      </c>
      <c r="AT228" s="146" t="str">
        <f>IFERROR(_xlfn.IFNA(IF($BA228="No",0,IF(INDEX(Constants!E:E,MATCH(($I228/12),Constants!$A:$A,0))=0,0,INDEX(Constants!E:E,MATCH(($I228/12),Constants!$A:$A,0)))),0),"")</f>
        <v/>
      </c>
      <c r="AU228" s="146" t="str">
        <f>IFERROR(_xlfn.IFNA(IF($BA228="No",0,IF(INDEX(Constants!F:F,MATCH(($I228/12),Constants!$A:$A,0))=0,0,INDEX(Constants!F:F,MATCH(($I228/12),Constants!$A:$A,0)))),0),"")</f>
        <v/>
      </c>
      <c r="AV228" s="146" t="str">
        <f>IFERROR(_xlfn.IFNA(IF($BA228="No",0,IF(INDEX(Constants!G:G,MATCH(($I228/12),Constants!$A:$A,0))=0,0,INDEX(Constants!G:G,MATCH(($I228/12),Constants!$A:$A,0)))),0),"")</f>
        <v/>
      </c>
      <c r="AW228" s="146" t="str">
        <f>IFERROR(_xlfn.IFNA(IF($BA228="No",0,IF(INDEX(Constants!H:H,MATCH(($I228/12),Constants!$A:$A,0))=0,0,INDEX(Constants!H:H,MATCH(($I228/12),Constants!$A:$A,0)))),0),"")</f>
        <v/>
      </c>
      <c r="AX228" s="146" t="str">
        <f>IFERROR(_xlfn.IFNA(IF($BA228="No",0,IF(INDEX(Constants!I:I,MATCH(($I228/12),Constants!$A:$A,0))=0,0,INDEX(Constants!I:I,MATCH(($I228/12),Constants!$A:$A,0)))),0),"")</f>
        <v/>
      </c>
      <c r="AY228" s="146" t="str">
        <f>IFERROR(_xlfn.IFNA(IF($BA228="No",0,IF(INDEX(Constants!J:J,MATCH(($I228/12),Constants!$A:$A,0))=0,0,INDEX(Constants!J:J,MATCH(($I228/12),Constants!$A:$A,0)))),0),"")</f>
        <v/>
      </c>
      <c r="AZ228" s="146" t="str">
        <f>IFERROR(_xlfn.IFNA(IF($BA228="No",0,IF(INDEX(Constants!K:K,MATCH(($I228/12),Constants!$A:$A,0))=0,0,INDEX(Constants!K:K,MATCH(($I228/12),Constants!$A:$A,0)))),0),"")</f>
        <v/>
      </c>
      <c r="BA228" s="147" t="str">
        <f>_xlfn.IFNA(INDEX(Producer!$L:$L,MATCH($D228,Producer!$A:$A,0)),"")</f>
        <v/>
      </c>
      <c r="BB228" s="146" t="str">
        <f>IFERROR(IF(AQ228=0,"",IF(($I228/12)=15,_xlfn.CONCAT(Constants!$N$7,TEXT(DATE(YEAR(H228)-(($I228/12)-3),MONTH(H228),DAY(H228)),"dd/mm/yyyy"),", ",Constants!$P$7,TEXT(DATE(YEAR(H228)-(($I228/12)-8),MONTH(H228),DAY(H228)),"dd/mm/yyyy"),", ",Constants!$T$7,TEXT(DATE(YEAR(H228)-(($I228/12)-11),MONTH(H228),DAY(H228)),"dd/mm/yyyy"),", ",Constants!$V$7,TEXT(DATE(YEAR(H228)-(($I228/12)-13),MONTH(H228),DAY(H228)),"dd/mm/yyyy"),", ",Constants!$W$7,TEXT($H228,"dd/mm/yyyy")),IF(($I228/12)=10,_xlfn.CONCAT(Constants!$N$6,TEXT(DATE(YEAR(H228)-(($I228/12)-2),MONTH(H228),DAY(H228)),"dd/mm/yyyy"),", ",Constants!$P$6,TEXT(DATE(YEAR(H228)-(($I228/12)-6),MONTH(H228),DAY(H228)),"dd/mm/yyyy"),", ",Constants!$T$6,TEXT(DATE(YEAR(H228)-(($I228/12)-8),MONTH(H228),DAY(H228)),"dd/mm/yyyy"),", ",Constants!$V$6,TEXT(DATE(YEAR(H228)-(($I228/12)-9),MONTH(H228),DAY(H228)),"dd/mm/yyyy"),", ",Constants!$W$6,TEXT($H228,"dd/mm/yyyy")),IF(($I228/12)=5,_xlfn.CONCAT(Constants!$N$5,TEXT(DATE(YEAR(H228)-(($I228/12)-1),MONTH(H228),DAY(H228)),"dd/mm/yyyy"),", ",Constants!$O$5,TEXT(DATE(YEAR(H228)-(($I228/12)-2),MONTH(H228),DAY(H228)),"dd/mm/yyyy"),", ",Constants!$P$5,TEXT(DATE(YEAR(H228)-(($I228/12)-3),MONTH(H228),DAY(H228)),"dd/mm/yyyy"),", ",Constants!$Q$5,TEXT(DATE(YEAR(H228)-(($I228/12)-4),MONTH(H228),DAY(H228)),"dd/mm/yyyy"),", ",Constants!$R$5,TEXT($H228,"dd/mm/yyyy")),IF(($I228/12)=3,_xlfn.CONCAT(Constants!$N$4,TEXT(DATE(YEAR(H228)-(($I228/12)-1),MONTH(H228),DAY(H228)),"dd/mm/yyyy"),", ",Constants!$O$4,TEXT(DATE(YEAR(H228)-(($I228/12)-2),MONTH(H228),DAY(H228)),"dd/mm/yyyy"),", ",Constants!$P$4,TEXT($H228,"dd/mm/yyyy")),IF(($I228/12)=2,_xlfn.CONCAT(Constants!$N$3,TEXT(DATE(YEAR(H228)-(($I228/12)-1),MONTH(H228),DAY(H228)),"dd/mm/yyyy"),", ",Constants!$O$3,TEXT($H228,"dd/mm/yyyy")),IF(($I228/12)=1,_xlfn.CONCAT(Constants!$N$2,TEXT($H228,"dd/mm/yyyy")),"Update Constants"))))))),"")</f>
        <v/>
      </c>
      <c r="BC228" s="147" t="str">
        <f>_xlfn.IFNA(VALUE(INDEX(Producer!$K:$K,MATCH($D228,Producer!$A:$A,0))),"")</f>
        <v/>
      </c>
      <c r="BD228" s="147" t="str">
        <f>_xlfn.IFNA(INDEX(Producer!$I:$I,MATCH($D228,Producer!$A:$A,0)),"")</f>
        <v/>
      </c>
      <c r="BE228" s="147" t="str">
        <f t="shared" si="92"/>
        <v/>
      </c>
      <c r="BF228" s="147"/>
      <c r="BG228" s="147"/>
      <c r="BH228" s="151" t="str">
        <f>_xlfn.IFNA(INDEX(Constants!$B:$B,MATCH(BC228,Constants!A:A,0)),"")</f>
        <v/>
      </c>
      <c r="BI228" s="147" t="str">
        <f>IF(LEFT(B228,15)="Limited Company",Constants!$D$16,IFERROR(_xlfn.IFNA(IF(C228="Residential",IF(BK228&lt;75,INDEX(Constants!$B:$B,MATCH(VALUE(60)/100,Constants!$A:$A,0)),INDEX(Constants!$B:$B,MATCH(VALUE(BK228)/100,Constants!$A:$A,0))),IF(BK228&lt;60,INDEX(Constants!$C:$C,MATCH(VALUE(60)/100,Constants!$A:$A,0)),INDEX(Constants!$C:$C,MATCH(VALUE(BK228)/100,Constants!$A:$A,0)))),""),""))</f>
        <v/>
      </c>
      <c r="BJ228" s="147" t="str">
        <f t="shared" si="93"/>
        <v/>
      </c>
      <c r="BK228" s="147" t="str">
        <f>_xlfn.IFNA(VALUE(INDEX(Producer!$E:$E,MATCH($D228,Producer!$A:$A,0)))*100,"")</f>
        <v/>
      </c>
      <c r="BL228" s="146" t="str">
        <f>_xlfn.IFNA(IF(IFERROR(FIND("Part &amp; Part",B228),-10)&gt;0,"PP",IF(OR(LEFT(B228,25)="Residential Interest Only",INDEX(Producer!$P:$P,MATCH($D228,Producer!$A:$A,0))="IO",INDEX(Producer!$P:$P,MATCH($D228,Producer!$A:$A,0))="Retirement Interest Only"),"IO",IF($C228="BuyToLet","CI, IO","CI"))),"")</f>
        <v/>
      </c>
      <c r="BM228" s="152" t="str">
        <f>_xlfn.IFNA(IF(BL228="IO",100%,IF(AND(INDEX(Producer!$P:$P,MATCH($D228,Producer!$A:$A,0))="Residential Interest Only Part &amp; Part",BK228=75),80%,IF(C228="BuyToLet",100%,IF(BL228="Interest Only",100%,IF(AND(INDEX(Producer!$P:$P,MATCH($D228,Producer!$A:$A,0))="Residential Interest Only Part &amp; Part",BK228=60),100%,""))))),"")</f>
        <v/>
      </c>
      <c r="BN228" s="218" t="str">
        <f>_xlfn.IFNA(IF(VALUE(INDEX(Producer!$H:$H,MATCH($D228,Producer!$A:$A,0)))=0,"",VALUE(INDEX(Producer!$H:$H,MATCH($D228,Producer!$A:$A,0)))),"")</f>
        <v/>
      </c>
      <c r="BO228" s="153"/>
      <c r="BP228" s="153"/>
      <c r="BQ228" s="219" t="str">
        <f t="shared" si="94"/>
        <v/>
      </c>
      <c r="BR228" s="146"/>
      <c r="BS228" s="146"/>
      <c r="BT228" s="146"/>
      <c r="BU228" s="146"/>
      <c r="BV228" s="219" t="str">
        <f t="shared" si="95"/>
        <v/>
      </c>
      <c r="BW228" s="146"/>
      <c r="BX228" s="146"/>
      <c r="BY228" s="146" t="str">
        <f t="shared" si="96"/>
        <v/>
      </c>
      <c r="BZ228" s="146" t="str">
        <f t="shared" si="97"/>
        <v/>
      </c>
      <c r="CA228" s="146" t="str">
        <f t="shared" si="98"/>
        <v/>
      </c>
      <c r="CB228" s="146" t="str">
        <f t="shared" si="99"/>
        <v/>
      </c>
      <c r="CC228" s="146" t="str">
        <f>_xlfn.IFNA(IF(INDEX(Producer!$P:$P,MATCH($D228,Producer!$A:$A,0))="Help to Buy","Only available","No"),"")</f>
        <v/>
      </c>
      <c r="CD228" s="146" t="str">
        <f>_xlfn.IFNA(IF(INDEX(Producer!$P:$P,MATCH($D228,Producer!$A:$A,0))="Shared Ownership","Only available","No"),"")</f>
        <v/>
      </c>
      <c r="CE228" s="146" t="str">
        <f>_xlfn.IFNA(IF(INDEX(Producer!$P:$P,MATCH($D228,Producer!$A:$A,0))="Right to Buy","Only available","No"),"")</f>
        <v/>
      </c>
      <c r="CF228" s="146" t="str">
        <f t="shared" si="100"/>
        <v/>
      </c>
      <c r="CG228" s="146" t="str">
        <f>_xlfn.IFNA(IF(INDEX(Producer!$P:$P,MATCH($D228,Producer!$A:$A,0))="Retirement Interest Only","Only available","No"),"")</f>
        <v/>
      </c>
      <c r="CH228" s="146" t="str">
        <f t="shared" si="101"/>
        <v/>
      </c>
      <c r="CI228" s="146" t="str">
        <f>_xlfn.IFNA(IF(INDEX(Producer!$P:$P,MATCH($D228,Producer!$A:$A,0))="Intermediary Holiday Let","Only available","No"),"")</f>
        <v/>
      </c>
      <c r="CJ228" s="146" t="str">
        <f t="shared" si="102"/>
        <v/>
      </c>
      <c r="CK228" s="146" t="str">
        <f>_xlfn.IFNA(IF(OR(INDEX(Producer!$P:$P,MATCH($D228,Producer!$A:$A,0))="Intermediary Small HMO",INDEX(Producer!$P:$P,MATCH($D228,Producer!$A:$A,0))="Intermediary Large HMO"),"Only available","No"),"")</f>
        <v/>
      </c>
      <c r="CL228" s="146" t="str">
        <f t="shared" si="103"/>
        <v/>
      </c>
      <c r="CM228" s="146" t="str">
        <f t="shared" si="104"/>
        <v/>
      </c>
      <c r="CN228" s="146" t="str">
        <f t="shared" si="105"/>
        <v/>
      </c>
      <c r="CO228" s="146" t="str">
        <f t="shared" si="106"/>
        <v/>
      </c>
      <c r="CP228" s="146" t="str">
        <f t="shared" si="107"/>
        <v/>
      </c>
      <c r="CQ228" s="146" t="str">
        <f t="shared" si="108"/>
        <v/>
      </c>
      <c r="CR228" s="146" t="str">
        <f t="shared" si="109"/>
        <v/>
      </c>
      <c r="CS228" s="146" t="str">
        <f t="shared" si="110"/>
        <v/>
      </c>
      <c r="CT228" s="146" t="str">
        <f t="shared" si="111"/>
        <v/>
      </c>
      <c r="CU228" s="146"/>
    </row>
    <row r="229" spans="1:99" ht="16.399999999999999" customHeight="1" x14ac:dyDescent="0.35">
      <c r="A229" s="145" t="str">
        <f t="shared" si="84"/>
        <v/>
      </c>
      <c r="B229" s="145" t="str">
        <f>_xlfn.IFNA(_xlfn.CONCAT(INDEX(Producer!$P:$P,MATCH($D229,Producer!$A:$A,0))," ",IF(INDEX(Producer!$N:$N,MATCH($D229,Producer!$A:$A,0))="Yes","Green ",""),IF(AND(INDEX(Producer!$L:$L,MATCH($D229,Producer!$A:$A,0))="No",INDEX(Producer!$C:$C,MATCH($D229,Producer!$A:$A,0))="Fixed"),"Flexit ",""),INDEX(Producer!$B:$B,MATCH($D229,Producer!$A:$A,0))," Year ",INDEX(Producer!$C:$C,MATCH($D229,Producer!$A:$A,0))," ",VALUE(INDEX(Producer!$E:$E,MATCH($D229,Producer!$A:$A,0)))*100,"% LTV",IF(INDEX(Producer!$N:$N,MATCH($D229,Producer!$A:$A,0))="Yes"," (EPC A-C)","")," - ",IF(INDEX(Producer!$D:$D,MATCH($D229,Producer!$A:$A,0))="DLY","Daily","Annual")),"")</f>
        <v/>
      </c>
      <c r="C229" s="146" t="str">
        <f>_xlfn.IFNA(INDEX(Producer!$Q:$Q,MATCH($D229,Producer!$A:$A,0)),"")</f>
        <v/>
      </c>
      <c r="D229" s="146" t="str">
        <f>IFERROR(VALUE(MID(Producer!$R$2,IF($D228="",1/0,FIND(_xlfn.CONCAT($D227,$D228),Producer!$R$2)+10),5)),"")</f>
        <v/>
      </c>
      <c r="E229" s="146" t="str">
        <f t="shared" si="85"/>
        <v/>
      </c>
      <c r="F229" s="146"/>
      <c r="G229" s="147" t="str">
        <f>_xlfn.IFNA(VALUE(INDEX(Producer!$F:$F,MATCH($D229,Producer!$A:$A,0)))*100,"")</f>
        <v/>
      </c>
      <c r="H229" s="216" t="str">
        <f>_xlfn.IFNA(IFERROR(DATEVALUE(INDEX(Producer!$M:$M,MATCH($D229,Producer!$A:$A,0))),(INDEX(Producer!$M:$M,MATCH($D229,Producer!$A:$A,0)))),"")</f>
        <v/>
      </c>
      <c r="I229" s="217" t="str">
        <f>_xlfn.IFNA(VALUE(INDEX(Producer!$B:$B,MATCH($D229,Producer!$A:$A,0)))*12,"")</f>
        <v/>
      </c>
      <c r="J229" s="146" t="str">
        <f>_xlfn.IFNA(IF(C229="Residential",IF(VALUE(INDEX(Producer!$B:$B,MATCH($D229,Producer!$A:$A,0)))&lt;5,Constants!$C$10,""),IF(VALUE(INDEX(Producer!$B:$B,MATCH($D229,Producer!$A:$A,0)))&lt;5,Constants!$C$11,"")),"")</f>
        <v/>
      </c>
      <c r="K229" s="216" t="str">
        <f>_xlfn.IFNA(IF(($I229)&lt;60,DATE(YEAR(H229)+(5-VALUE(INDEX(Producer!$B:$B,MATCH($D229,Producer!$A:$A,0)))),MONTH(H229),DAY(H229)),""),"")</f>
        <v/>
      </c>
      <c r="L229" s="153" t="str">
        <f t="shared" si="86"/>
        <v/>
      </c>
      <c r="M229" s="146"/>
      <c r="N229" s="148"/>
      <c r="O229" s="148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  <c r="AB229" s="146"/>
      <c r="AC229" s="146"/>
      <c r="AD229" s="146"/>
      <c r="AE229" s="146"/>
      <c r="AF229" s="146"/>
      <c r="AG229" s="146"/>
      <c r="AH229" s="146"/>
      <c r="AI229" s="146"/>
      <c r="AJ229" s="146"/>
      <c r="AK229" s="146" t="str">
        <f>IF(D229="","",IF(C229="Residential",Constants!$B$10,Constants!$B$11))</f>
        <v/>
      </c>
      <c r="AL229" s="146" t="str">
        <f t="shared" si="87"/>
        <v/>
      </c>
      <c r="AM229" s="206" t="str">
        <f t="shared" si="88"/>
        <v/>
      </c>
      <c r="AN229" s="146" t="str">
        <f t="shared" si="89"/>
        <v/>
      </c>
      <c r="AO229" s="149" t="str">
        <f t="shared" si="90"/>
        <v/>
      </c>
      <c r="AP229" s="150" t="str">
        <f t="shared" si="91"/>
        <v/>
      </c>
      <c r="AQ229" s="146" t="str">
        <f>IFERROR(_xlfn.IFNA(IF($BA229="No",0,IF(INDEX(Constants!B:B,MATCH(($I229/12),Constants!$A:$A,0))=0,0,INDEX(Constants!B:B,MATCH(($I229/12),Constants!$A:$A,0)))),0),"")</f>
        <v/>
      </c>
      <c r="AR229" s="146" t="str">
        <f>IFERROR(_xlfn.IFNA(IF($BA229="No",0,IF(INDEX(Constants!C:C,MATCH(($I229/12),Constants!$A:$A,0))=0,0,INDEX(Constants!C:C,MATCH(($I229/12),Constants!$A:$A,0)))),0),"")</f>
        <v/>
      </c>
      <c r="AS229" s="146" t="str">
        <f>IFERROR(_xlfn.IFNA(IF($BA229="No",0,IF(INDEX(Constants!D:D,MATCH(($I229/12),Constants!$A:$A,0))=0,0,INDEX(Constants!D:D,MATCH(($I229/12),Constants!$A:$A,0)))),0),"")</f>
        <v/>
      </c>
      <c r="AT229" s="146" t="str">
        <f>IFERROR(_xlfn.IFNA(IF($BA229="No",0,IF(INDEX(Constants!E:E,MATCH(($I229/12),Constants!$A:$A,0))=0,0,INDEX(Constants!E:E,MATCH(($I229/12),Constants!$A:$A,0)))),0),"")</f>
        <v/>
      </c>
      <c r="AU229" s="146" t="str">
        <f>IFERROR(_xlfn.IFNA(IF($BA229="No",0,IF(INDEX(Constants!F:F,MATCH(($I229/12),Constants!$A:$A,0))=0,0,INDEX(Constants!F:F,MATCH(($I229/12),Constants!$A:$A,0)))),0),"")</f>
        <v/>
      </c>
      <c r="AV229" s="146" t="str">
        <f>IFERROR(_xlfn.IFNA(IF($BA229="No",0,IF(INDEX(Constants!G:G,MATCH(($I229/12),Constants!$A:$A,0))=0,0,INDEX(Constants!G:G,MATCH(($I229/12),Constants!$A:$A,0)))),0),"")</f>
        <v/>
      </c>
      <c r="AW229" s="146" t="str">
        <f>IFERROR(_xlfn.IFNA(IF($BA229="No",0,IF(INDEX(Constants!H:H,MATCH(($I229/12),Constants!$A:$A,0))=0,0,INDEX(Constants!H:H,MATCH(($I229/12),Constants!$A:$A,0)))),0),"")</f>
        <v/>
      </c>
      <c r="AX229" s="146" t="str">
        <f>IFERROR(_xlfn.IFNA(IF($BA229="No",0,IF(INDEX(Constants!I:I,MATCH(($I229/12),Constants!$A:$A,0))=0,0,INDEX(Constants!I:I,MATCH(($I229/12),Constants!$A:$A,0)))),0),"")</f>
        <v/>
      </c>
      <c r="AY229" s="146" t="str">
        <f>IFERROR(_xlfn.IFNA(IF($BA229="No",0,IF(INDEX(Constants!J:J,MATCH(($I229/12),Constants!$A:$A,0))=0,0,INDEX(Constants!J:J,MATCH(($I229/12),Constants!$A:$A,0)))),0),"")</f>
        <v/>
      </c>
      <c r="AZ229" s="146" t="str">
        <f>IFERROR(_xlfn.IFNA(IF($BA229="No",0,IF(INDEX(Constants!K:K,MATCH(($I229/12),Constants!$A:$A,0))=0,0,INDEX(Constants!K:K,MATCH(($I229/12),Constants!$A:$A,0)))),0),"")</f>
        <v/>
      </c>
      <c r="BA229" s="147" t="str">
        <f>_xlfn.IFNA(INDEX(Producer!$L:$L,MATCH($D229,Producer!$A:$A,0)),"")</f>
        <v/>
      </c>
      <c r="BB229" s="146" t="str">
        <f>IFERROR(IF(AQ229=0,"",IF(($I229/12)=15,_xlfn.CONCAT(Constants!$N$7,TEXT(DATE(YEAR(H229)-(($I229/12)-3),MONTH(H229),DAY(H229)),"dd/mm/yyyy"),", ",Constants!$P$7,TEXT(DATE(YEAR(H229)-(($I229/12)-8),MONTH(H229),DAY(H229)),"dd/mm/yyyy"),", ",Constants!$T$7,TEXT(DATE(YEAR(H229)-(($I229/12)-11),MONTH(H229),DAY(H229)),"dd/mm/yyyy"),", ",Constants!$V$7,TEXT(DATE(YEAR(H229)-(($I229/12)-13),MONTH(H229),DAY(H229)),"dd/mm/yyyy"),", ",Constants!$W$7,TEXT($H229,"dd/mm/yyyy")),IF(($I229/12)=10,_xlfn.CONCAT(Constants!$N$6,TEXT(DATE(YEAR(H229)-(($I229/12)-2),MONTH(H229),DAY(H229)),"dd/mm/yyyy"),", ",Constants!$P$6,TEXT(DATE(YEAR(H229)-(($I229/12)-6),MONTH(H229),DAY(H229)),"dd/mm/yyyy"),", ",Constants!$T$6,TEXT(DATE(YEAR(H229)-(($I229/12)-8),MONTH(H229),DAY(H229)),"dd/mm/yyyy"),", ",Constants!$V$6,TEXT(DATE(YEAR(H229)-(($I229/12)-9),MONTH(H229),DAY(H229)),"dd/mm/yyyy"),", ",Constants!$W$6,TEXT($H229,"dd/mm/yyyy")),IF(($I229/12)=5,_xlfn.CONCAT(Constants!$N$5,TEXT(DATE(YEAR(H229)-(($I229/12)-1),MONTH(H229),DAY(H229)),"dd/mm/yyyy"),", ",Constants!$O$5,TEXT(DATE(YEAR(H229)-(($I229/12)-2),MONTH(H229),DAY(H229)),"dd/mm/yyyy"),", ",Constants!$P$5,TEXT(DATE(YEAR(H229)-(($I229/12)-3),MONTH(H229),DAY(H229)),"dd/mm/yyyy"),", ",Constants!$Q$5,TEXT(DATE(YEAR(H229)-(($I229/12)-4),MONTH(H229),DAY(H229)),"dd/mm/yyyy"),", ",Constants!$R$5,TEXT($H229,"dd/mm/yyyy")),IF(($I229/12)=3,_xlfn.CONCAT(Constants!$N$4,TEXT(DATE(YEAR(H229)-(($I229/12)-1),MONTH(H229),DAY(H229)),"dd/mm/yyyy"),", ",Constants!$O$4,TEXT(DATE(YEAR(H229)-(($I229/12)-2),MONTH(H229),DAY(H229)),"dd/mm/yyyy"),", ",Constants!$P$4,TEXT($H229,"dd/mm/yyyy")),IF(($I229/12)=2,_xlfn.CONCAT(Constants!$N$3,TEXT(DATE(YEAR(H229)-(($I229/12)-1),MONTH(H229),DAY(H229)),"dd/mm/yyyy"),", ",Constants!$O$3,TEXT($H229,"dd/mm/yyyy")),IF(($I229/12)=1,_xlfn.CONCAT(Constants!$N$2,TEXT($H229,"dd/mm/yyyy")),"Update Constants"))))))),"")</f>
        <v/>
      </c>
      <c r="BC229" s="147" t="str">
        <f>_xlfn.IFNA(VALUE(INDEX(Producer!$K:$K,MATCH($D229,Producer!$A:$A,0))),"")</f>
        <v/>
      </c>
      <c r="BD229" s="147" t="str">
        <f>_xlfn.IFNA(INDEX(Producer!$I:$I,MATCH($D229,Producer!$A:$A,0)),"")</f>
        <v/>
      </c>
      <c r="BE229" s="147" t="str">
        <f t="shared" si="92"/>
        <v/>
      </c>
      <c r="BF229" s="147"/>
      <c r="BG229" s="147"/>
      <c r="BH229" s="151" t="str">
        <f>_xlfn.IFNA(INDEX(Constants!$B:$B,MATCH(BC229,Constants!A:A,0)),"")</f>
        <v/>
      </c>
      <c r="BI229" s="147" t="str">
        <f>IF(LEFT(B229,15)="Limited Company",Constants!$D$16,IFERROR(_xlfn.IFNA(IF(C229="Residential",IF(BK229&lt;75,INDEX(Constants!$B:$B,MATCH(VALUE(60)/100,Constants!$A:$A,0)),INDEX(Constants!$B:$B,MATCH(VALUE(BK229)/100,Constants!$A:$A,0))),IF(BK229&lt;60,INDEX(Constants!$C:$C,MATCH(VALUE(60)/100,Constants!$A:$A,0)),INDEX(Constants!$C:$C,MATCH(VALUE(BK229)/100,Constants!$A:$A,0)))),""),""))</f>
        <v/>
      </c>
      <c r="BJ229" s="147" t="str">
        <f t="shared" si="93"/>
        <v/>
      </c>
      <c r="BK229" s="147" t="str">
        <f>_xlfn.IFNA(VALUE(INDEX(Producer!$E:$E,MATCH($D229,Producer!$A:$A,0)))*100,"")</f>
        <v/>
      </c>
      <c r="BL229" s="146" t="str">
        <f>_xlfn.IFNA(IF(IFERROR(FIND("Part &amp; Part",B229),-10)&gt;0,"PP",IF(OR(LEFT(B229,25)="Residential Interest Only",INDEX(Producer!$P:$P,MATCH($D229,Producer!$A:$A,0))="IO",INDEX(Producer!$P:$P,MATCH($D229,Producer!$A:$A,0))="Retirement Interest Only"),"IO",IF($C229="BuyToLet","CI, IO","CI"))),"")</f>
        <v/>
      </c>
      <c r="BM229" s="152" t="str">
        <f>_xlfn.IFNA(IF(BL229="IO",100%,IF(AND(INDEX(Producer!$P:$P,MATCH($D229,Producer!$A:$A,0))="Residential Interest Only Part &amp; Part",BK229=75),80%,IF(C229="BuyToLet",100%,IF(BL229="Interest Only",100%,IF(AND(INDEX(Producer!$P:$P,MATCH($D229,Producer!$A:$A,0))="Residential Interest Only Part &amp; Part",BK229=60),100%,""))))),"")</f>
        <v/>
      </c>
      <c r="BN229" s="218" t="str">
        <f>_xlfn.IFNA(IF(VALUE(INDEX(Producer!$H:$H,MATCH($D229,Producer!$A:$A,0)))=0,"",VALUE(INDEX(Producer!$H:$H,MATCH($D229,Producer!$A:$A,0)))),"")</f>
        <v/>
      </c>
      <c r="BO229" s="153"/>
      <c r="BP229" s="153"/>
      <c r="BQ229" s="219" t="str">
        <f t="shared" si="94"/>
        <v/>
      </c>
      <c r="BR229" s="146"/>
      <c r="BS229" s="146"/>
      <c r="BT229" s="146"/>
      <c r="BU229" s="146"/>
      <c r="BV229" s="219" t="str">
        <f t="shared" si="95"/>
        <v/>
      </c>
      <c r="BW229" s="146"/>
      <c r="BX229" s="146"/>
      <c r="BY229" s="146" t="str">
        <f t="shared" si="96"/>
        <v/>
      </c>
      <c r="BZ229" s="146" t="str">
        <f t="shared" si="97"/>
        <v/>
      </c>
      <c r="CA229" s="146" t="str">
        <f t="shared" si="98"/>
        <v/>
      </c>
      <c r="CB229" s="146" t="str">
        <f t="shared" si="99"/>
        <v/>
      </c>
      <c r="CC229" s="146" t="str">
        <f>_xlfn.IFNA(IF(INDEX(Producer!$P:$P,MATCH($D229,Producer!$A:$A,0))="Help to Buy","Only available","No"),"")</f>
        <v/>
      </c>
      <c r="CD229" s="146" t="str">
        <f>_xlfn.IFNA(IF(INDEX(Producer!$P:$P,MATCH($D229,Producer!$A:$A,0))="Shared Ownership","Only available","No"),"")</f>
        <v/>
      </c>
      <c r="CE229" s="146" t="str">
        <f>_xlfn.IFNA(IF(INDEX(Producer!$P:$P,MATCH($D229,Producer!$A:$A,0))="Right to Buy","Only available","No"),"")</f>
        <v/>
      </c>
      <c r="CF229" s="146" t="str">
        <f t="shared" si="100"/>
        <v/>
      </c>
      <c r="CG229" s="146" t="str">
        <f>_xlfn.IFNA(IF(INDEX(Producer!$P:$P,MATCH($D229,Producer!$A:$A,0))="Retirement Interest Only","Only available","No"),"")</f>
        <v/>
      </c>
      <c r="CH229" s="146" t="str">
        <f t="shared" si="101"/>
        <v/>
      </c>
      <c r="CI229" s="146" t="str">
        <f>_xlfn.IFNA(IF(INDEX(Producer!$P:$P,MATCH($D229,Producer!$A:$A,0))="Intermediary Holiday Let","Only available","No"),"")</f>
        <v/>
      </c>
      <c r="CJ229" s="146" t="str">
        <f t="shared" si="102"/>
        <v/>
      </c>
      <c r="CK229" s="146" t="str">
        <f>_xlfn.IFNA(IF(OR(INDEX(Producer!$P:$P,MATCH($D229,Producer!$A:$A,0))="Intermediary Small HMO",INDEX(Producer!$P:$P,MATCH($D229,Producer!$A:$A,0))="Intermediary Large HMO"),"Only available","No"),"")</f>
        <v/>
      </c>
      <c r="CL229" s="146" t="str">
        <f t="shared" si="103"/>
        <v/>
      </c>
      <c r="CM229" s="146" t="str">
        <f t="shared" si="104"/>
        <v/>
      </c>
      <c r="CN229" s="146" t="str">
        <f t="shared" si="105"/>
        <v/>
      </c>
      <c r="CO229" s="146" t="str">
        <f t="shared" si="106"/>
        <v/>
      </c>
      <c r="CP229" s="146" t="str">
        <f t="shared" si="107"/>
        <v/>
      </c>
      <c r="CQ229" s="146" t="str">
        <f t="shared" si="108"/>
        <v/>
      </c>
      <c r="CR229" s="146" t="str">
        <f t="shared" si="109"/>
        <v/>
      </c>
      <c r="CS229" s="146" t="str">
        <f t="shared" si="110"/>
        <v/>
      </c>
      <c r="CT229" s="146" t="str">
        <f t="shared" si="111"/>
        <v/>
      </c>
      <c r="CU229" s="146"/>
    </row>
    <row r="230" spans="1:99" ht="16.399999999999999" customHeight="1" x14ac:dyDescent="0.35">
      <c r="A230" s="145" t="str">
        <f t="shared" si="84"/>
        <v/>
      </c>
      <c r="B230" s="145" t="str">
        <f>_xlfn.IFNA(_xlfn.CONCAT(INDEX(Producer!$P:$P,MATCH($D230,Producer!$A:$A,0))," ",IF(INDEX(Producer!$N:$N,MATCH($D230,Producer!$A:$A,0))="Yes","Green ",""),IF(AND(INDEX(Producer!$L:$L,MATCH($D230,Producer!$A:$A,0))="No",INDEX(Producer!$C:$C,MATCH($D230,Producer!$A:$A,0))="Fixed"),"Flexit ",""),INDEX(Producer!$B:$B,MATCH($D230,Producer!$A:$A,0))," Year ",INDEX(Producer!$C:$C,MATCH($D230,Producer!$A:$A,0))," ",VALUE(INDEX(Producer!$E:$E,MATCH($D230,Producer!$A:$A,0)))*100,"% LTV",IF(INDEX(Producer!$N:$N,MATCH($D230,Producer!$A:$A,0))="Yes"," (EPC A-C)","")," - ",IF(INDEX(Producer!$D:$D,MATCH($D230,Producer!$A:$A,0))="DLY","Daily","Annual")),"")</f>
        <v/>
      </c>
      <c r="C230" s="146" t="str">
        <f>_xlfn.IFNA(INDEX(Producer!$Q:$Q,MATCH($D230,Producer!$A:$A,0)),"")</f>
        <v/>
      </c>
      <c r="D230" s="146" t="str">
        <f>IFERROR(VALUE(MID(Producer!$R$2,IF($D229="",1/0,FIND(_xlfn.CONCAT($D228,$D229),Producer!$R$2)+10),5)),"")</f>
        <v/>
      </c>
      <c r="E230" s="146" t="str">
        <f t="shared" si="85"/>
        <v/>
      </c>
      <c r="F230" s="146"/>
      <c r="G230" s="147" t="str">
        <f>_xlfn.IFNA(VALUE(INDEX(Producer!$F:$F,MATCH($D230,Producer!$A:$A,0)))*100,"")</f>
        <v/>
      </c>
      <c r="H230" s="216" t="str">
        <f>_xlfn.IFNA(IFERROR(DATEVALUE(INDEX(Producer!$M:$M,MATCH($D230,Producer!$A:$A,0))),(INDEX(Producer!$M:$M,MATCH($D230,Producer!$A:$A,0)))),"")</f>
        <v/>
      </c>
      <c r="I230" s="217" t="str">
        <f>_xlfn.IFNA(VALUE(INDEX(Producer!$B:$B,MATCH($D230,Producer!$A:$A,0)))*12,"")</f>
        <v/>
      </c>
      <c r="J230" s="146" t="str">
        <f>_xlfn.IFNA(IF(C230="Residential",IF(VALUE(INDEX(Producer!$B:$B,MATCH($D230,Producer!$A:$A,0)))&lt;5,Constants!$C$10,""),IF(VALUE(INDEX(Producer!$B:$B,MATCH($D230,Producer!$A:$A,0)))&lt;5,Constants!$C$11,"")),"")</f>
        <v/>
      </c>
      <c r="K230" s="216" t="str">
        <f>_xlfn.IFNA(IF(($I230)&lt;60,DATE(YEAR(H230)+(5-VALUE(INDEX(Producer!$B:$B,MATCH($D230,Producer!$A:$A,0)))),MONTH(H230),DAY(H230)),""),"")</f>
        <v/>
      </c>
      <c r="L230" s="153" t="str">
        <f t="shared" si="86"/>
        <v/>
      </c>
      <c r="M230" s="146"/>
      <c r="N230" s="148"/>
      <c r="O230" s="148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46"/>
      <c r="AF230" s="146"/>
      <c r="AG230" s="146"/>
      <c r="AH230" s="146"/>
      <c r="AI230" s="146"/>
      <c r="AJ230" s="146"/>
      <c r="AK230" s="146" t="str">
        <f>IF(D230="","",IF(C230="Residential",Constants!$B$10,Constants!$B$11))</f>
        <v/>
      </c>
      <c r="AL230" s="146" t="str">
        <f t="shared" si="87"/>
        <v/>
      </c>
      <c r="AM230" s="206" t="str">
        <f t="shared" si="88"/>
        <v/>
      </c>
      <c r="AN230" s="146" t="str">
        <f t="shared" si="89"/>
        <v/>
      </c>
      <c r="AO230" s="149" t="str">
        <f t="shared" si="90"/>
        <v/>
      </c>
      <c r="AP230" s="150" t="str">
        <f t="shared" si="91"/>
        <v/>
      </c>
      <c r="AQ230" s="146" t="str">
        <f>IFERROR(_xlfn.IFNA(IF($BA230="No",0,IF(INDEX(Constants!B:B,MATCH(($I230/12),Constants!$A:$A,0))=0,0,INDEX(Constants!B:B,MATCH(($I230/12),Constants!$A:$A,0)))),0),"")</f>
        <v/>
      </c>
      <c r="AR230" s="146" t="str">
        <f>IFERROR(_xlfn.IFNA(IF($BA230="No",0,IF(INDEX(Constants!C:C,MATCH(($I230/12),Constants!$A:$A,0))=0,0,INDEX(Constants!C:C,MATCH(($I230/12),Constants!$A:$A,0)))),0),"")</f>
        <v/>
      </c>
      <c r="AS230" s="146" t="str">
        <f>IFERROR(_xlfn.IFNA(IF($BA230="No",0,IF(INDEX(Constants!D:D,MATCH(($I230/12),Constants!$A:$A,0))=0,0,INDEX(Constants!D:D,MATCH(($I230/12),Constants!$A:$A,0)))),0),"")</f>
        <v/>
      </c>
      <c r="AT230" s="146" t="str">
        <f>IFERROR(_xlfn.IFNA(IF($BA230="No",0,IF(INDEX(Constants!E:E,MATCH(($I230/12),Constants!$A:$A,0))=0,0,INDEX(Constants!E:E,MATCH(($I230/12),Constants!$A:$A,0)))),0),"")</f>
        <v/>
      </c>
      <c r="AU230" s="146" t="str">
        <f>IFERROR(_xlfn.IFNA(IF($BA230="No",0,IF(INDEX(Constants!F:F,MATCH(($I230/12),Constants!$A:$A,0))=0,0,INDEX(Constants!F:F,MATCH(($I230/12),Constants!$A:$A,0)))),0),"")</f>
        <v/>
      </c>
      <c r="AV230" s="146" t="str">
        <f>IFERROR(_xlfn.IFNA(IF($BA230="No",0,IF(INDEX(Constants!G:G,MATCH(($I230/12),Constants!$A:$A,0))=0,0,INDEX(Constants!G:G,MATCH(($I230/12),Constants!$A:$A,0)))),0),"")</f>
        <v/>
      </c>
      <c r="AW230" s="146" t="str">
        <f>IFERROR(_xlfn.IFNA(IF($BA230="No",0,IF(INDEX(Constants!H:H,MATCH(($I230/12),Constants!$A:$A,0))=0,0,INDEX(Constants!H:H,MATCH(($I230/12),Constants!$A:$A,0)))),0),"")</f>
        <v/>
      </c>
      <c r="AX230" s="146" t="str">
        <f>IFERROR(_xlfn.IFNA(IF($BA230="No",0,IF(INDEX(Constants!I:I,MATCH(($I230/12),Constants!$A:$A,0))=0,0,INDEX(Constants!I:I,MATCH(($I230/12),Constants!$A:$A,0)))),0),"")</f>
        <v/>
      </c>
      <c r="AY230" s="146" t="str">
        <f>IFERROR(_xlfn.IFNA(IF($BA230="No",0,IF(INDEX(Constants!J:J,MATCH(($I230/12),Constants!$A:$A,0))=0,0,INDEX(Constants!J:J,MATCH(($I230/12),Constants!$A:$A,0)))),0),"")</f>
        <v/>
      </c>
      <c r="AZ230" s="146" t="str">
        <f>IFERROR(_xlfn.IFNA(IF($BA230="No",0,IF(INDEX(Constants!K:K,MATCH(($I230/12),Constants!$A:$A,0))=0,0,INDEX(Constants!K:K,MATCH(($I230/12),Constants!$A:$A,0)))),0),"")</f>
        <v/>
      </c>
      <c r="BA230" s="147" t="str">
        <f>_xlfn.IFNA(INDEX(Producer!$L:$L,MATCH($D230,Producer!$A:$A,0)),"")</f>
        <v/>
      </c>
      <c r="BB230" s="146" t="str">
        <f>IFERROR(IF(AQ230=0,"",IF(($I230/12)=15,_xlfn.CONCAT(Constants!$N$7,TEXT(DATE(YEAR(H230)-(($I230/12)-3),MONTH(H230),DAY(H230)),"dd/mm/yyyy"),", ",Constants!$P$7,TEXT(DATE(YEAR(H230)-(($I230/12)-8),MONTH(H230),DAY(H230)),"dd/mm/yyyy"),", ",Constants!$T$7,TEXT(DATE(YEAR(H230)-(($I230/12)-11),MONTH(H230),DAY(H230)),"dd/mm/yyyy"),", ",Constants!$V$7,TEXT(DATE(YEAR(H230)-(($I230/12)-13),MONTH(H230),DAY(H230)),"dd/mm/yyyy"),", ",Constants!$W$7,TEXT($H230,"dd/mm/yyyy")),IF(($I230/12)=10,_xlfn.CONCAT(Constants!$N$6,TEXT(DATE(YEAR(H230)-(($I230/12)-2),MONTH(H230),DAY(H230)),"dd/mm/yyyy"),", ",Constants!$P$6,TEXT(DATE(YEAR(H230)-(($I230/12)-6),MONTH(H230),DAY(H230)),"dd/mm/yyyy"),", ",Constants!$T$6,TEXT(DATE(YEAR(H230)-(($I230/12)-8),MONTH(H230),DAY(H230)),"dd/mm/yyyy"),", ",Constants!$V$6,TEXT(DATE(YEAR(H230)-(($I230/12)-9),MONTH(H230),DAY(H230)),"dd/mm/yyyy"),", ",Constants!$W$6,TEXT($H230,"dd/mm/yyyy")),IF(($I230/12)=5,_xlfn.CONCAT(Constants!$N$5,TEXT(DATE(YEAR(H230)-(($I230/12)-1),MONTH(H230),DAY(H230)),"dd/mm/yyyy"),", ",Constants!$O$5,TEXT(DATE(YEAR(H230)-(($I230/12)-2),MONTH(H230),DAY(H230)),"dd/mm/yyyy"),", ",Constants!$P$5,TEXT(DATE(YEAR(H230)-(($I230/12)-3),MONTH(H230),DAY(H230)),"dd/mm/yyyy"),", ",Constants!$Q$5,TEXT(DATE(YEAR(H230)-(($I230/12)-4),MONTH(H230),DAY(H230)),"dd/mm/yyyy"),", ",Constants!$R$5,TEXT($H230,"dd/mm/yyyy")),IF(($I230/12)=3,_xlfn.CONCAT(Constants!$N$4,TEXT(DATE(YEAR(H230)-(($I230/12)-1),MONTH(H230),DAY(H230)),"dd/mm/yyyy"),", ",Constants!$O$4,TEXT(DATE(YEAR(H230)-(($I230/12)-2),MONTH(H230),DAY(H230)),"dd/mm/yyyy"),", ",Constants!$P$4,TEXT($H230,"dd/mm/yyyy")),IF(($I230/12)=2,_xlfn.CONCAT(Constants!$N$3,TEXT(DATE(YEAR(H230)-(($I230/12)-1),MONTH(H230),DAY(H230)),"dd/mm/yyyy"),", ",Constants!$O$3,TEXT($H230,"dd/mm/yyyy")),IF(($I230/12)=1,_xlfn.CONCAT(Constants!$N$2,TEXT($H230,"dd/mm/yyyy")),"Update Constants"))))))),"")</f>
        <v/>
      </c>
      <c r="BC230" s="147" t="str">
        <f>_xlfn.IFNA(VALUE(INDEX(Producer!$K:$K,MATCH($D230,Producer!$A:$A,0))),"")</f>
        <v/>
      </c>
      <c r="BD230" s="147" t="str">
        <f>_xlfn.IFNA(INDEX(Producer!$I:$I,MATCH($D230,Producer!$A:$A,0)),"")</f>
        <v/>
      </c>
      <c r="BE230" s="147" t="str">
        <f t="shared" si="92"/>
        <v/>
      </c>
      <c r="BF230" s="147"/>
      <c r="BG230" s="147"/>
      <c r="BH230" s="151" t="str">
        <f>_xlfn.IFNA(INDEX(Constants!$B:$B,MATCH(BC230,Constants!A:A,0)),"")</f>
        <v/>
      </c>
      <c r="BI230" s="147" t="str">
        <f>IF(LEFT(B230,15)="Limited Company",Constants!$D$16,IFERROR(_xlfn.IFNA(IF(C230="Residential",IF(BK230&lt;75,INDEX(Constants!$B:$B,MATCH(VALUE(60)/100,Constants!$A:$A,0)),INDEX(Constants!$B:$B,MATCH(VALUE(BK230)/100,Constants!$A:$A,0))),IF(BK230&lt;60,INDEX(Constants!$C:$C,MATCH(VALUE(60)/100,Constants!$A:$A,0)),INDEX(Constants!$C:$C,MATCH(VALUE(BK230)/100,Constants!$A:$A,0)))),""),""))</f>
        <v/>
      </c>
      <c r="BJ230" s="147" t="str">
        <f t="shared" si="93"/>
        <v/>
      </c>
      <c r="BK230" s="147" t="str">
        <f>_xlfn.IFNA(VALUE(INDEX(Producer!$E:$E,MATCH($D230,Producer!$A:$A,0)))*100,"")</f>
        <v/>
      </c>
      <c r="BL230" s="146" t="str">
        <f>_xlfn.IFNA(IF(IFERROR(FIND("Part &amp; Part",B230),-10)&gt;0,"PP",IF(OR(LEFT(B230,25)="Residential Interest Only",INDEX(Producer!$P:$P,MATCH($D230,Producer!$A:$A,0))="IO",INDEX(Producer!$P:$P,MATCH($D230,Producer!$A:$A,0))="Retirement Interest Only"),"IO",IF($C230="BuyToLet","CI, IO","CI"))),"")</f>
        <v/>
      </c>
      <c r="BM230" s="152" t="str">
        <f>_xlfn.IFNA(IF(BL230="IO",100%,IF(AND(INDEX(Producer!$P:$P,MATCH($D230,Producer!$A:$A,0))="Residential Interest Only Part &amp; Part",BK230=75),80%,IF(C230="BuyToLet",100%,IF(BL230="Interest Only",100%,IF(AND(INDEX(Producer!$P:$P,MATCH($D230,Producer!$A:$A,0))="Residential Interest Only Part &amp; Part",BK230=60),100%,""))))),"")</f>
        <v/>
      </c>
      <c r="BN230" s="218" t="str">
        <f>_xlfn.IFNA(IF(VALUE(INDEX(Producer!$H:$H,MATCH($D230,Producer!$A:$A,0)))=0,"",VALUE(INDEX(Producer!$H:$H,MATCH($D230,Producer!$A:$A,0)))),"")</f>
        <v/>
      </c>
      <c r="BO230" s="153"/>
      <c r="BP230" s="153"/>
      <c r="BQ230" s="219" t="str">
        <f t="shared" si="94"/>
        <v/>
      </c>
      <c r="BR230" s="146"/>
      <c r="BS230" s="146"/>
      <c r="BT230" s="146"/>
      <c r="BU230" s="146"/>
      <c r="BV230" s="219" t="str">
        <f t="shared" si="95"/>
        <v/>
      </c>
      <c r="BW230" s="146"/>
      <c r="BX230" s="146"/>
      <c r="BY230" s="146" t="str">
        <f t="shared" si="96"/>
        <v/>
      </c>
      <c r="BZ230" s="146" t="str">
        <f t="shared" si="97"/>
        <v/>
      </c>
      <c r="CA230" s="146" t="str">
        <f t="shared" si="98"/>
        <v/>
      </c>
      <c r="CB230" s="146" t="str">
        <f t="shared" si="99"/>
        <v/>
      </c>
      <c r="CC230" s="146" t="str">
        <f>_xlfn.IFNA(IF(INDEX(Producer!$P:$P,MATCH($D230,Producer!$A:$A,0))="Help to Buy","Only available","No"),"")</f>
        <v/>
      </c>
      <c r="CD230" s="146" t="str">
        <f>_xlfn.IFNA(IF(INDEX(Producer!$P:$P,MATCH($D230,Producer!$A:$A,0))="Shared Ownership","Only available","No"),"")</f>
        <v/>
      </c>
      <c r="CE230" s="146" t="str">
        <f>_xlfn.IFNA(IF(INDEX(Producer!$P:$P,MATCH($D230,Producer!$A:$A,0))="Right to Buy","Only available","No"),"")</f>
        <v/>
      </c>
      <c r="CF230" s="146" t="str">
        <f t="shared" si="100"/>
        <v/>
      </c>
      <c r="CG230" s="146" t="str">
        <f>_xlfn.IFNA(IF(INDEX(Producer!$P:$P,MATCH($D230,Producer!$A:$A,0))="Retirement Interest Only","Only available","No"),"")</f>
        <v/>
      </c>
      <c r="CH230" s="146" t="str">
        <f t="shared" si="101"/>
        <v/>
      </c>
      <c r="CI230" s="146" t="str">
        <f>_xlfn.IFNA(IF(INDEX(Producer!$P:$P,MATCH($D230,Producer!$A:$A,0))="Intermediary Holiday Let","Only available","No"),"")</f>
        <v/>
      </c>
      <c r="CJ230" s="146" t="str">
        <f t="shared" si="102"/>
        <v/>
      </c>
      <c r="CK230" s="146" t="str">
        <f>_xlfn.IFNA(IF(OR(INDEX(Producer!$P:$P,MATCH($D230,Producer!$A:$A,0))="Intermediary Small HMO",INDEX(Producer!$P:$P,MATCH($D230,Producer!$A:$A,0))="Intermediary Large HMO"),"Only available","No"),"")</f>
        <v/>
      </c>
      <c r="CL230" s="146" t="str">
        <f t="shared" si="103"/>
        <v/>
      </c>
      <c r="CM230" s="146" t="str">
        <f t="shared" si="104"/>
        <v/>
      </c>
      <c r="CN230" s="146" t="str">
        <f t="shared" si="105"/>
        <v/>
      </c>
      <c r="CO230" s="146" t="str">
        <f t="shared" si="106"/>
        <v/>
      </c>
      <c r="CP230" s="146" t="str">
        <f t="shared" si="107"/>
        <v/>
      </c>
      <c r="CQ230" s="146" t="str">
        <f t="shared" si="108"/>
        <v/>
      </c>
      <c r="CR230" s="146" t="str">
        <f t="shared" si="109"/>
        <v/>
      </c>
      <c r="CS230" s="146" t="str">
        <f t="shared" si="110"/>
        <v/>
      </c>
      <c r="CT230" s="146" t="str">
        <f t="shared" si="111"/>
        <v/>
      </c>
      <c r="CU230" s="146"/>
    </row>
    <row r="231" spans="1:99" ht="16.399999999999999" customHeight="1" x14ac:dyDescent="0.35">
      <c r="A231" s="145" t="str">
        <f t="shared" si="84"/>
        <v/>
      </c>
      <c r="B231" s="145" t="str">
        <f>_xlfn.IFNA(_xlfn.CONCAT(INDEX(Producer!$P:$P,MATCH($D231,Producer!$A:$A,0))," ",IF(INDEX(Producer!$N:$N,MATCH($D231,Producer!$A:$A,0))="Yes","Green ",""),IF(AND(INDEX(Producer!$L:$L,MATCH($D231,Producer!$A:$A,0))="No",INDEX(Producer!$C:$C,MATCH($D231,Producer!$A:$A,0))="Fixed"),"Flexit ",""),INDEX(Producer!$B:$B,MATCH($D231,Producer!$A:$A,0))," Year ",INDEX(Producer!$C:$C,MATCH($D231,Producer!$A:$A,0))," ",VALUE(INDEX(Producer!$E:$E,MATCH($D231,Producer!$A:$A,0)))*100,"% LTV",IF(INDEX(Producer!$N:$N,MATCH($D231,Producer!$A:$A,0))="Yes"," (EPC A-C)","")," - ",IF(INDEX(Producer!$D:$D,MATCH($D231,Producer!$A:$A,0))="DLY","Daily","Annual")),"")</f>
        <v/>
      </c>
      <c r="C231" s="146" t="str">
        <f>_xlfn.IFNA(INDEX(Producer!$Q:$Q,MATCH($D231,Producer!$A:$A,0)),"")</f>
        <v/>
      </c>
      <c r="D231" s="146" t="str">
        <f>IFERROR(VALUE(MID(Producer!$R$2,IF($D230="",1/0,FIND(_xlfn.CONCAT($D229,$D230),Producer!$R$2)+10),5)),"")</f>
        <v/>
      </c>
      <c r="E231" s="146" t="str">
        <f t="shared" si="85"/>
        <v/>
      </c>
      <c r="F231" s="146"/>
      <c r="G231" s="147" t="str">
        <f>_xlfn.IFNA(VALUE(INDEX(Producer!$F:$F,MATCH($D231,Producer!$A:$A,0)))*100,"")</f>
        <v/>
      </c>
      <c r="H231" s="216" t="str">
        <f>_xlfn.IFNA(IFERROR(DATEVALUE(INDEX(Producer!$M:$M,MATCH($D231,Producer!$A:$A,0))),(INDEX(Producer!$M:$M,MATCH($D231,Producer!$A:$A,0)))),"")</f>
        <v/>
      </c>
      <c r="I231" s="217" t="str">
        <f>_xlfn.IFNA(VALUE(INDEX(Producer!$B:$B,MATCH($D231,Producer!$A:$A,0)))*12,"")</f>
        <v/>
      </c>
      <c r="J231" s="146" t="str">
        <f>_xlfn.IFNA(IF(C231="Residential",IF(VALUE(INDEX(Producer!$B:$B,MATCH($D231,Producer!$A:$A,0)))&lt;5,Constants!$C$10,""),IF(VALUE(INDEX(Producer!$B:$B,MATCH($D231,Producer!$A:$A,0)))&lt;5,Constants!$C$11,"")),"")</f>
        <v/>
      </c>
      <c r="K231" s="216" t="str">
        <f>_xlfn.IFNA(IF(($I231)&lt;60,DATE(YEAR(H231)+(5-VALUE(INDEX(Producer!$B:$B,MATCH($D231,Producer!$A:$A,0)))),MONTH(H231),DAY(H231)),""),"")</f>
        <v/>
      </c>
      <c r="L231" s="153" t="str">
        <f t="shared" si="86"/>
        <v/>
      </c>
      <c r="M231" s="146"/>
      <c r="N231" s="148"/>
      <c r="O231" s="148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46"/>
      <c r="AF231" s="146"/>
      <c r="AG231" s="146"/>
      <c r="AH231" s="146"/>
      <c r="AI231" s="146"/>
      <c r="AJ231" s="146"/>
      <c r="AK231" s="146" t="str">
        <f>IF(D231="","",IF(C231="Residential",Constants!$B$10,Constants!$B$11))</f>
        <v/>
      </c>
      <c r="AL231" s="146" t="str">
        <f t="shared" si="87"/>
        <v/>
      </c>
      <c r="AM231" s="206" t="str">
        <f t="shared" si="88"/>
        <v/>
      </c>
      <c r="AN231" s="146" t="str">
        <f t="shared" si="89"/>
        <v/>
      </c>
      <c r="AO231" s="149" t="str">
        <f t="shared" si="90"/>
        <v/>
      </c>
      <c r="AP231" s="150" t="str">
        <f t="shared" si="91"/>
        <v/>
      </c>
      <c r="AQ231" s="146" t="str">
        <f>IFERROR(_xlfn.IFNA(IF($BA231="No",0,IF(INDEX(Constants!B:B,MATCH(($I231/12),Constants!$A:$A,0))=0,0,INDEX(Constants!B:B,MATCH(($I231/12),Constants!$A:$A,0)))),0),"")</f>
        <v/>
      </c>
      <c r="AR231" s="146" t="str">
        <f>IFERROR(_xlfn.IFNA(IF($BA231="No",0,IF(INDEX(Constants!C:C,MATCH(($I231/12),Constants!$A:$A,0))=0,0,INDEX(Constants!C:C,MATCH(($I231/12),Constants!$A:$A,0)))),0),"")</f>
        <v/>
      </c>
      <c r="AS231" s="146" t="str">
        <f>IFERROR(_xlfn.IFNA(IF($BA231="No",0,IF(INDEX(Constants!D:D,MATCH(($I231/12),Constants!$A:$A,0))=0,0,INDEX(Constants!D:D,MATCH(($I231/12),Constants!$A:$A,0)))),0),"")</f>
        <v/>
      </c>
      <c r="AT231" s="146" t="str">
        <f>IFERROR(_xlfn.IFNA(IF($BA231="No",0,IF(INDEX(Constants!E:E,MATCH(($I231/12),Constants!$A:$A,0))=0,0,INDEX(Constants!E:E,MATCH(($I231/12),Constants!$A:$A,0)))),0),"")</f>
        <v/>
      </c>
      <c r="AU231" s="146" t="str">
        <f>IFERROR(_xlfn.IFNA(IF($BA231="No",0,IF(INDEX(Constants!F:F,MATCH(($I231/12),Constants!$A:$A,0))=0,0,INDEX(Constants!F:F,MATCH(($I231/12),Constants!$A:$A,0)))),0),"")</f>
        <v/>
      </c>
      <c r="AV231" s="146" t="str">
        <f>IFERROR(_xlfn.IFNA(IF($BA231="No",0,IF(INDEX(Constants!G:G,MATCH(($I231/12),Constants!$A:$A,0))=0,0,INDEX(Constants!G:G,MATCH(($I231/12),Constants!$A:$A,0)))),0),"")</f>
        <v/>
      </c>
      <c r="AW231" s="146" t="str">
        <f>IFERROR(_xlfn.IFNA(IF($BA231="No",0,IF(INDEX(Constants!H:H,MATCH(($I231/12),Constants!$A:$A,0))=0,0,INDEX(Constants!H:H,MATCH(($I231/12),Constants!$A:$A,0)))),0),"")</f>
        <v/>
      </c>
      <c r="AX231" s="146" t="str">
        <f>IFERROR(_xlfn.IFNA(IF($BA231="No",0,IF(INDEX(Constants!I:I,MATCH(($I231/12),Constants!$A:$A,0))=0,0,INDEX(Constants!I:I,MATCH(($I231/12),Constants!$A:$A,0)))),0),"")</f>
        <v/>
      </c>
      <c r="AY231" s="146" t="str">
        <f>IFERROR(_xlfn.IFNA(IF($BA231="No",0,IF(INDEX(Constants!J:J,MATCH(($I231/12),Constants!$A:$A,0))=0,0,INDEX(Constants!J:J,MATCH(($I231/12),Constants!$A:$A,0)))),0),"")</f>
        <v/>
      </c>
      <c r="AZ231" s="146" t="str">
        <f>IFERROR(_xlfn.IFNA(IF($BA231="No",0,IF(INDEX(Constants!K:K,MATCH(($I231/12),Constants!$A:$A,0))=0,0,INDEX(Constants!K:K,MATCH(($I231/12),Constants!$A:$A,0)))),0),"")</f>
        <v/>
      </c>
      <c r="BA231" s="147" t="str">
        <f>_xlfn.IFNA(INDEX(Producer!$L:$L,MATCH($D231,Producer!$A:$A,0)),"")</f>
        <v/>
      </c>
      <c r="BB231" s="146" t="str">
        <f>IFERROR(IF(AQ231=0,"",IF(($I231/12)=15,_xlfn.CONCAT(Constants!$N$7,TEXT(DATE(YEAR(H231)-(($I231/12)-3),MONTH(H231),DAY(H231)),"dd/mm/yyyy"),", ",Constants!$P$7,TEXT(DATE(YEAR(H231)-(($I231/12)-8),MONTH(H231),DAY(H231)),"dd/mm/yyyy"),", ",Constants!$T$7,TEXT(DATE(YEAR(H231)-(($I231/12)-11),MONTH(H231),DAY(H231)),"dd/mm/yyyy"),", ",Constants!$V$7,TEXT(DATE(YEAR(H231)-(($I231/12)-13),MONTH(H231),DAY(H231)),"dd/mm/yyyy"),", ",Constants!$W$7,TEXT($H231,"dd/mm/yyyy")),IF(($I231/12)=10,_xlfn.CONCAT(Constants!$N$6,TEXT(DATE(YEAR(H231)-(($I231/12)-2),MONTH(H231),DAY(H231)),"dd/mm/yyyy"),", ",Constants!$P$6,TEXT(DATE(YEAR(H231)-(($I231/12)-6),MONTH(H231),DAY(H231)),"dd/mm/yyyy"),", ",Constants!$T$6,TEXT(DATE(YEAR(H231)-(($I231/12)-8),MONTH(H231),DAY(H231)),"dd/mm/yyyy"),", ",Constants!$V$6,TEXT(DATE(YEAR(H231)-(($I231/12)-9),MONTH(H231),DAY(H231)),"dd/mm/yyyy"),", ",Constants!$W$6,TEXT($H231,"dd/mm/yyyy")),IF(($I231/12)=5,_xlfn.CONCAT(Constants!$N$5,TEXT(DATE(YEAR(H231)-(($I231/12)-1),MONTH(H231),DAY(H231)),"dd/mm/yyyy"),", ",Constants!$O$5,TEXT(DATE(YEAR(H231)-(($I231/12)-2),MONTH(H231),DAY(H231)),"dd/mm/yyyy"),", ",Constants!$P$5,TEXT(DATE(YEAR(H231)-(($I231/12)-3),MONTH(H231),DAY(H231)),"dd/mm/yyyy"),", ",Constants!$Q$5,TEXT(DATE(YEAR(H231)-(($I231/12)-4),MONTH(H231),DAY(H231)),"dd/mm/yyyy"),", ",Constants!$R$5,TEXT($H231,"dd/mm/yyyy")),IF(($I231/12)=3,_xlfn.CONCAT(Constants!$N$4,TEXT(DATE(YEAR(H231)-(($I231/12)-1),MONTH(H231),DAY(H231)),"dd/mm/yyyy"),", ",Constants!$O$4,TEXT(DATE(YEAR(H231)-(($I231/12)-2),MONTH(H231),DAY(H231)),"dd/mm/yyyy"),", ",Constants!$P$4,TEXT($H231,"dd/mm/yyyy")),IF(($I231/12)=2,_xlfn.CONCAT(Constants!$N$3,TEXT(DATE(YEAR(H231)-(($I231/12)-1),MONTH(H231),DAY(H231)),"dd/mm/yyyy"),", ",Constants!$O$3,TEXT($H231,"dd/mm/yyyy")),IF(($I231/12)=1,_xlfn.CONCAT(Constants!$N$2,TEXT($H231,"dd/mm/yyyy")),"Update Constants"))))))),"")</f>
        <v/>
      </c>
      <c r="BC231" s="147" t="str">
        <f>_xlfn.IFNA(VALUE(INDEX(Producer!$K:$K,MATCH($D231,Producer!$A:$A,0))),"")</f>
        <v/>
      </c>
      <c r="BD231" s="147" t="str">
        <f>_xlfn.IFNA(INDEX(Producer!$I:$I,MATCH($D231,Producer!$A:$A,0)),"")</f>
        <v/>
      </c>
      <c r="BE231" s="147" t="str">
        <f t="shared" si="92"/>
        <v/>
      </c>
      <c r="BF231" s="147"/>
      <c r="BG231" s="147"/>
      <c r="BH231" s="151" t="str">
        <f>_xlfn.IFNA(INDEX(Constants!$B:$B,MATCH(BC231,Constants!A:A,0)),"")</f>
        <v/>
      </c>
      <c r="BI231" s="147" t="str">
        <f>IF(LEFT(B231,15)="Limited Company",Constants!$D$16,IFERROR(_xlfn.IFNA(IF(C231="Residential",IF(BK231&lt;75,INDEX(Constants!$B:$B,MATCH(VALUE(60)/100,Constants!$A:$A,0)),INDEX(Constants!$B:$B,MATCH(VALUE(BK231)/100,Constants!$A:$A,0))),IF(BK231&lt;60,INDEX(Constants!$C:$C,MATCH(VALUE(60)/100,Constants!$A:$A,0)),INDEX(Constants!$C:$C,MATCH(VALUE(BK231)/100,Constants!$A:$A,0)))),""),""))</f>
        <v/>
      </c>
      <c r="BJ231" s="147" t="str">
        <f t="shared" si="93"/>
        <v/>
      </c>
      <c r="BK231" s="147" t="str">
        <f>_xlfn.IFNA(VALUE(INDEX(Producer!$E:$E,MATCH($D231,Producer!$A:$A,0)))*100,"")</f>
        <v/>
      </c>
      <c r="BL231" s="146" t="str">
        <f>_xlfn.IFNA(IF(IFERROR(FIND("Part &amp; Part",B231),-10)&gt;0,"PP",IF(OR(LEFT(B231,25)="Residential Interest Only",INDEX(Producer!$P:$P,MATCH($D231,Producer!$A:$A,0))="IO",INDEX(Producer!$P:$P,MATCH($D231,Producer!$A:$A,0))="Retirement Interest Only"),"IO",IF($C231="BuyToLet","CI, IO","CI"))),"")</f>
        <v/>
      </c>
      <c r="BM231" s="152" t="str">
        <f>_xlfn.IFNA(IF(BL231="IO",100%,IF(AND(INDEX(Producer!$P:$P,MATCH($D231,Producer!$A:$A,0))="Residential Interest Only Part &amp; Part",BK231=75),80%,IF(C231="BuyToLet",100%,IF(BL231="Interest Only",100%,IF(AND(INDEX(Producer!$P:$P,MATCH($D231,Producer!$A:$A,0))="Residential Interest Only Part &amp; Part",BK231=60),100%,""))))),"")</f>
        <v/>
      </c>
      <c r="BN231" s="218" t="str">
        <f>_xlfn.IFNA(IF(VALUE(INDEX(Producer!$H:$H,MATCH($D231,Producer!$A:$A,0)))=0,"",VALUE(INDEX(Producer!$H:$H,MATCH($D231,Producer!$A:$A,0)))),"")</f>
        <v/>
      </c>
      <c r="BO231" s="153"/>
      <c r="BP231" s="153"/>
      <c r="BQ231" s="219" t="str">
        <f t="shared" si="94"/>
        <v/>
      </c>
      <c r="BR231" s="146"/>
      <c r="BS231" s="146"/>
      <c r="BT231" s="146"/>
      <c r="BU231" s="146"/>
      <c r="BV231" s="219" t="str">
        <f t="shared" si="95"/>
        <v/>
      </c>
      <c r="BW231" s="146"/>
      <c r="BX231" s="146"/>
      <c r="BY231" s="146" t="str">
        <f t="shared" si="96"/>
        <v/>
      </c>
      <c r="BZ231" s="146" t="str">
        <f t="shared" si="97"/>
        <v/>
      </c>
      <c r="CA231" s="146" t="str">
        <f t="shared" si="98"/>
        <v/>
      </c>
      <c r="CB231" s="146" t="str">
        <f t="shared" si="99"/>
        <v/>
      </c>
      <c r="CC231" s="146" t="str">
        <f>_xlfn.IFNA(IF(INDEX(Producer!$P:$P,MATCH($D231,Producer!$A:$A,0))="Help to Buy","Only available","No"),"")</f>
        <v/>
      </c>
      <c r="CD231" s="146" t="str">
        <f>_xlfn.IFNA(IF(INDEX(Producer!$P:$P,MATCH($D231,Producer!$A:$A,0))="Shared Ownership","Only available","No"),"")</f>
        <v/>
      </c>
      <c r="CE231" s="146" t="str">
        <f>_xlfn.IFNA(IF(INDEX(Producer!$P:$P,MATCH($D231,Producer!$A:$A,0))="Right to Buy","Only available","No"),"")</f>
        <v/>
      </c>
      <c r="CF231" s="146" t="str">
        <f t="shared" si="100"/>
        <v/>
      </c>
      <c r="CG231" s="146" t="str">
        <f>_xlfn.IFNA(IF(INDEX(Producer!$P:$P,MATCH($D231,Producer!$A:$A,0))="Retirement Interest Only","Only available","No"),"")</f>
        <v/>
      </c>
      <c r="CH231" s="146" t="str">
        <f t="shared" si="101"/>
        <v/>
      </c>
      <c r="CI231" s="146" t="str">
        <f>_xlfn.IFNA(IF(INDEX(Producer!$P:$P,MATCH($D231,Producer!$A:$A,0))="Intermediary Holiday Let","Only available","No"),"")</f>
        <v/>
      </c>
      <c r="CJ231" s="146" t="str">
        <f t="shared" si="102"/>
        <v/>
      </c>
      <c r="CK231" s="146" t="str">
        <f>_xlfn.IFNA(IF(OR(INDEX(Producer!$P:$P,MATCH($D231,Producer!$A:$A,0))="Intermediary Small HMO",INDEX(Producer!$P:$P,MATCH($D231,Producer!$A:$A,0))="Intermediary Large HMO"),"Only available","No"),"")</f>
        <v/>
      </c>
      <c r="CL231" s="146" t="str">
        <f t="shared" si="103"/>
        <v/>
      </c>
      <c r="CM231" s="146" t="str">
        <f t="shared" si="104"/>
        <v/>
      </c>
      <c r="CN231" s="146" t="str">
        <f t="shared" si="105"/>
        <v/>
      </c>
      <c r="CO231" s="146" t="str">
        <f t="shared" si="106"/>
        <v/>
      </c>
      <c r="CP231" s="146" t="str">
        <f t="shared" si="107"/>
        <v/>
      </c>
      <c r="CQ231" s="146" t="str">
        <f t="shared" si="108"/>
        <v/>
      </c>
      <c r="CR231" s="146" t="str">
        <f t="shared" si="109"/>
        <v/>
      </c>
      <c r="CS231" s="146" t="str">
        <f t="shared" si="110"/>
        <v/>
      </c>
      <c r="CT231" s="146" t="str">
        <f t="shared" si="111"/>
        <v/>
      </c>
      <c r="CU231" s="146"/>
    </row>
    <row r="232" spans="1:99" ht="16.399999999999999" customHeight="1" x14ac:dyDescent="0.35">
      <c r="A232" s="145" t="str">
        <f t="shared" si="84"/>
        <v/>
      </c>
      <c r="B232" s="145" t="str">
        <f>_xlfn.IFNA(_xlfn.CONCAT(INDEX(Producer!$P:$P,MATCH($D232,Producer!$A:$A,0))," ",IF(INDEX(Producer!$N:$N,MATCH($D232,Producer!$A:$A,0))="Yes","Green ",""),IF(AND(INDEX(Producer!$L:$L,MATCH($D232,Producer!$A:$A,0))="No",INDEX(Producer!$C:$C,MATCH($D232,Producer!$A:$A,0))="Fixed"),"Flexit ",""),INDEX(Producer!$B:$B,MATCH($D232,Producer!$A:$A,0))," Year ",INDEX(Producer!$C:$C,MATCH($D232,Producer!$A:$A,0))," ",VALUE(INDEX(Producer!$E:$E,MATCH($D232,Producer!$A:$A,0)))*100,"% LTV",IF(INDEX(Producer!$N:$N,MATCH($D232,Producer!$A:$A,0))="Yes"," (EPC A-C)","")," - ",IF(INDEX(Producer!$D:$D,MATCH($D232,Producer!$A:$A,0))="DLY","Daily","Annual")),"")</f>
        <v/>
      </c>
      <c r="C232" s="146" t="str">
        <f>_xlfn.IFNA(INDEX(Producer!$Q:$Q,MATCH($D232,Producer!$A:$A,0)),"")</f>
        <v/>
      </c>
      <c r="D232" s="146" t="str">
        <f>IFERROR(VALUE(MID(Producer!$R$2,IF($D231="",1/0,FIND(_xlfn.CONCAT($D230,$D231),Producer!$R$2)+10),5)),"")</f>
        <v/>
      </c>
      <c r="E232" s="146" t="str">
        <f t="shared" si="85"/>
        <v/>
      </c>
      <c r="F232" s="146"/>
      <c r="G232" s="147" t="str">
        <f>_xlfn.IFNA(VALUE(INDEX(Producer!$F:$F,MATCH($D232,Producer!$A:$A,0)))*100,"")</f>
        <v/>
      </c>
      <c r="H232" s="216" t="str">
        <f>_xlfn.IFNA(IFERROR(DATEVALUE(INDEX(Producer!$M:$M,MATCH($D232,Producer!$A:$A,0))),(INDEX(Producer!$M:$M,MATCH($D232,Producer!$A:$A,0)))),"")</f>
        <v/>
      </c>
      <c r="I232" s="217" t="str">
        <f>_xlfn.IFNA(VALUE(INDEX(Producer!$B:$B,MATCH($D232,Producer!$A:$A,0)))*12,"")</f>
        <v/>
      </c>
      <c r="J232" s="146" t="str">
        <f>_xlfn.IFNA(IF(C232="Residential",IF(VALUE(INDEX(Producer!$B:$B,MATCH($D232,Producer!$A:$A,0)))&lt;5,Constants!$C$10,""),IF(VALUE(INDEX(Producer!$B:$B,MATCH($D232,Producer!$A:$A,0)))&lt;5,Constants!$C$11,"")),"")</f>
        <v/>
      </c>
      <c r="K232" s="216" t="str">
        <f>_xlfn.IFNA(IF(($I232)&lt;60,DATE(YEAR(H232)+(5-VALUE(INDEX(Producer!$B:$B,MATCH($D232,Producer!$A:$A,0)))),MONTH(H232),DAY(H232)),""),"")</f>
        <v/>
      </c>
      <c r="L232" s="153" t="str">
        <f t="shared" si="86"/>
        <v/>
      </c>
      <c r="M232" s="146"/>
      <c r="N232" s="148"/>
      <c r="O232" s="148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6"/>
      <c r="AK232" s="146" t="str">
        <f>IF(D232="","",IF(C232="Residential",Constants!$B$10,Constants!$B$11))</f>
        <v/>
      </c>
      <c r="AL232" s="146" t="str">
        <f t="shared" si="87"/>
        <v/>
      </c>
      <c r="AM232" s="206" t="str">
        <f t="shared" si="88"/>
        <v/>
      </c>
      <c r="AN232" s="146" t="str">
        <f t="shared" si="89"/>
        <v/>
      </c>
      <c r="AO232" s="149" t="str">
        <f t="shared" si="90"/>
        <v/>
      </c>
      <c r="AP232" s="150" t="str">
        <f t="shared" si="91"/>
        <v/>
      </c>
      <c r="AQ232" s="146" t="str">
        <f>IFERROR(_xlfn.IFNA(IF($BA232="No",0,IF(INDEX(Constants!B:B,MATCH(($I232/12),Constants!$A:$A,0))=0,0,INDEX(Constants!B:B,MATCH(($I232/12),Constants!$A:$A,0)))),0),"")</f>
        <v/>
      </c>
      <c r="AR232" s="146" t="str">
        <f>IFERROR(_xlfn.IFNA(IF($BA232="No",0,IF(INDEX(Constants!C:C,MATCH(($I232/12),Constants!$A:$A,0))=0,0,INDEX(Constants!C:C,MATCH(($I232/12),Constants!$A:$A,0)))),0),"")</f>
        <v/>
      </c>
      <c r="AS232" s="146" t="str">
        <f>IFERROR(_xlfn.IFNA(IF($BA232="No",0,IF(INDEX(Constants!D:D,MATCH(($I232/12),Constants!$A:$A,0))=0,0,INDEX(Constants!D:D,MATCH(($I232/12),Constants!$A:$A,0)))),0),"")</f>
        <v/>
      </c>
      <c r="AT232" s="146" t="str">
        <f>IFERROR(_xlfn.IFNA(IF($BA232="No",0,IF(INDEX(Constants!E:E,MATCH(($I232/12),Constants!$A:$A,0))=0,0,INDEX(Constants!E:E,MATCH(($I232/12),Constants!$A:$A,0)))),0),"")</f>
        <v/>
      </c>
      <c r="AU232" s="146" t="str">
        <f>IFERROR(_xlfn.IFNA(IF($BA232="No",0,IF(INDEX(Constants!F:F,MATCH(($I232/12),Constants!$A:$A,0))=0,0,INDEX(Constants!F:F,MATCH(($I232/12),Constants!$A:$A,0)))),0),"")</f>
        <v/>
      </c>
      <c r="AV232" s="146" t="str">
        <f>IFERROR(_xlfn.IFNA(IF($BA232="No",0,IF(INDEX(Constants!G:G,MATCH(($I232/12),Constants!$A:$A,0))=0,0,INDEX(Constants!G:G,MATCH(($I232/12),Constants!$A:$A,0)))),0),"")</f>
        <v/>
      </c>
      <c r="AW232" s="146" t="str">
        <f>IFERROR(_xlfn.IFNA(IF($BA232="No",0,IF(INDEX(Constants!H:H,MATCH(($I232/12),Constants!$A:$A,0))=0,0,INDEX(Constants!H:H,MATCH(($I232/12),Constants!$A:$A,0)))),0),"")</f>
        <v/>
      </c>
      <c r="AX232" s="146" t="str">
        <f>IFERROR(_xlfn.IFNA(IF($BA232="No",0,IF(INDEX(Constants!I:I,MATCH(($I232/12),Constants!$A:$A,0))=0,0,INDEX(Constants!I:I,MATCH(($I232/12),Constants!$A:$A,0)))),0),"")</f>
        <v/>
      </c>
      <c r="AY232" s="146" t="str">
        <f>IFERROR(_xlfn.IFNA(IF($BA232="No",0,IF(INDEX(Constants!J:J,MATCH(($I232/12),Constants!$A:$A,0))=0,0,INDEX(Constants!J:J,MATCH(($I232/12),Constants!$A:$A,0)))),0),"")</f>
        <v/>
      </c>
      <c r="AZ232" s="146" t="str">
        <f>IFERROR(_xlfn.IFNA(IF($BA232="No",0,IF(INDEX(Constants!K:K,MATCH(($I232/12),Constants!$A:$A,0))=0,0,INDEX(Constants!K:K,MATCH(($I232/12),Constants!$A:$A,0)))),0),"")</f>
        <v/>
      </c>
      <c r="BA232" s="147" t="str">
        <f>_xlfn.IFNA(INDEX(Producer!$L:$L,MATCH($D232,Producer!$A:$A,0)),"")</f>
        <v/>
      </c>
      <c r="BB232" s="146" t="str">
        <f>IFERROR(IF(AQ232=0,"",IF(($I232/12)=15,_xlfn.CONCAT(Constants!$N$7,TEXT(DATE(YEAR(H232)-(($I232/12)-3),MONTH(H232),DAY(H232)),"dd/mm/yyyy"),", ",Constants!$P$7,TEXT(DATE(YEAR(H232)-(($I232/12)-8),MONTH(H232),DAY(H232)),"dd/mm/yyyy"),", ",Constants!$T$7,TEXT(DATE(YEAR(H232)-(($I232/12)-11),MONTH(H232),DAY(H232)),"dd/mm/yyyy"),", ",Constants!$V$7,TEXT(DATE(YEAR(H232)-(($I232/12)-13),MONTH(H232),DAY(H232)),"dd/mm/yyyy"),", ",Constants!$W$7,TEXT($H232,"dd/mm/yyyy")),IF(($I232/12)=10,_xlfn.CONCAT(Constants!$N$6,TEXT(DATE(YEAR(H232)-(($I232/12)-2),MONTH(H232),DAY(H232)),"dd/mm/yyyy"),", ",Constants!$P$6,TEXT(DATE(YEAR(H232)-(($I232/12)-6),MONTH(H232),DAY(H232)),"dd/mm/yyyy"),", ",Constants!$T$6,TEXT(DATE(YEAR(H232)-(($I232/12)-8),MONTH(H232),DAY(H232)),"dd/mm/yyyy"),", ",Constants!$V$6,TEXT(DATE(YEAR(H232)-(($I232/12)-9),MONTH(H232),DAY(H232)),"dd/mm/yyyy"),", ",Constants!$W$6,TEXT($H232,"dd/mm/yyyy")),IF(($I232/12)=5,_xlfn.CONCAT(Constants!$N$5,TEXT(DATE(YEAR(H232)-(($I232/12)-1),MONTH(H232),DAY(H232)),"dd/mm/yyyy"),", ",Constants!$O$5,TEXT(DATE(YEAR(H232)-(($I232/12)-2),MONTH(H232),DAY(H232)),"dd/mm/yyyy"),", ",Constants!$P$5,TEXT(DATE(YEAR(H232)-(($I232/12)-3),MONTH(H232),DAY(H232)),"dd/mm/yyyy"),", ",Constants!$Q$5,TEXT(DATE(YEAR(H232)-(($I232/12)-4),MONTH(H232),DAY(H232)),"dd/mm/yyyy"),", ",Constants!$R$5,TEXT($H232,"dd/mm/yyyy")),IF(($I232/12)=3,_xlfn.CONCAT(Constants!$N$4,TEXT(DATE(YEAR(H232)-(($I232/12)-1),MONTH(H232),DAY(H232)),"dd/mm/yyyy"),", ",Constants!$O$4,TEXT(DATE(YEAR(H232)-(($I232/12)-2),MONTH(H232),DAY(H232)),"dd/mm/yyyy"),", ",Constants!$P$4,TEXT($H232,"dd/mm/yyyy")),IF(($I232/12)=2,_xlfn.CONCAT(Constants!$N$3,TEXT(DATE(YEAR(H232)-(($I232/12)-1),MONTH(H232),DAY(H232)),"dd/mm/yyyy"),", ",Constants!$O$3,TEXT($H232,"dd/mm/yyyy")),IF(($I232/12)=1,_xlfn.CONCAT(Constants!$N$2,TEXT($H232,"dd/mm/yyyy")),"Update Constants"))))))),"")</f>
        <v/>
      </c>
      <c r="BC232" s="147" t="str">
        <f>_xlfn.IFNA(VALUE(INDEX(Producer!$K:$K,MATCH($D232,Producer!$A:$A,0))),"")</f>
        <v/>
      </c>
      <c r="BD232" s="147" t="str">
        <f>_xlfn.IFNA(INDEX(Producer!$I:$I,MATCH($D232,Producer!$A:$A,0)),"")</f>
        <v/>
      </c>
      <c r="BE232" s="147" t="str">
        <f t="shared" si="92"/>
        <v/>
      </c>
      <c r="BF232" s="147"/>
      <c r="BG232" s="147"/>
      <c r="BH232" s="151" t="str">
        <f>_xlfn.IFNA(INDEX(Constants!$B:$B,MATCH(BC232,Constants!A:A,0)),"")</f>
        <v/>
      </c>
      <c r="BI232" s="147" t="str">
        <f>IF(LEFT(B232,15)="Limited Company",Constants!$D$16,IFERROR(_xlfn.IFNA(IF(C232="Residential",IF(BK232&lt;75,INDEX(Constants!$B:$B,MATCH(VALUE(60)/100,Constants!$A:$A,0)),INDEX(Constants!$B:$B,MATCH(VALUE(BK232)/100,Constants!$A:$A,0))),IF(BK232&lt;60,INDEX(Constants!$C:$C,MATCH(VALUE(60)/100,Constants!$A:$A,0)),INDEX(Constants!$C:$C,MATCH(VALUE(BK232)/100,Constants!$A:$A,0)))),""),""))</f>
        <v/>
      </c>
      <c r="BJ232" s="147" t="str">
        <f t="shared" si="93"/>
        <v/>
      </c>
      <c r="BK232" s="147" t="str">
        <f>_xlfn.IFNA(VALUE(INDEX(Producer!$E:$E,MATCH($D232,Producer!$A:$A,0)))*100,"")</f>
        <v/>
      </c>
      <c r="BL232" s="146" t="str">
        <f>_xlfn.IFNA(IF(IFERROR(FIND("Part &amp; Part",B232),-10)&gt;0,"PP",IF(OR(LEFT(B232,25)="Residential Interest Only",INDEX(Producer!$P:$P,MATCH($D232,Producer!$A:$A,0))="IO",INDEX(Producer!$P:$P,MATCH($D232,Producer!$A:$A,0))="Retirement Interest Only"),"IO",IF($C232="BuyToLet","CI, IO","CI"))),"")</f>
        <v/>
      </c>
      <c r="BM232" s="152" t="str">
        <f>_xlfn.IFNA(IF(BL232="IO",100%,IF(AND(INDEX(Producer!$P:$P,MATCH($D232,Producer!$A:$A,0))="Residential Interest Only Part &amp; Part",BK232=75),80%,IF(C232="BuyToLet",100%,IF(BL232="Interest Only",100%,IF(AND(INDEX(Producer!$P:$P,MATCH($D232,Producer!$A:$A,0))="Residential Interest Only Part &amp; Part",BK232=60),100%,""))))),"")</f>
        <v/>
      </c>
      <c r="BN232" s="218" t="str">
        <f>_xlfn.IFNA(IF(VALUE(INDEX(Producer!$H:$H,MATCH($D232,Producer!$A:$A,0)))=0,"",VALUE(INDEX(Producer!$H:$H,MATCH($D232,Producer!$A:$A,0)))),"")</f>
        <v/>
      </c>
      <c r="BO232" s="153"/>
      <c r="BP232" s="153"/>
      <c r="BQ232" s="219" t="str">
        <f t="shared" si="94"/>
        <v/>
      </c>
      <c r="BR232" s="146"/>
      <c r="BS232" s="146"/>
      <c r="BT232" s="146"/>
      <c r="BU232" s="146"/>
      <c r="BV232" s="219" t="str">
        <f t="shared" si="95"/>
        <v/>
      </c>
      <c r="BW232" s="146"/>
      <c r="BX232" s="146"/>
      <c r="BY232" s="146" t="str">
        <f t="shared" si="96"/>
        <v/>
      </c>
      <c r="BZ232" s="146" t="str">
        <f t="shared" si="97"/>
        <v/>
      </c>
      <c r="CA232" s="146" t="str">
        <f t="shared" si="98"/>
        <v/>
      </c>
      <c r="CB232" s="146" t="str">
        <f t="shared" si="99"/>
        <v/>
      </c>
      <c r="CC232" s="146" t="str">
        <f>_xlfn.IFNA(IF(INDEX(Producer!$P:$P,MATCH($D232,Producer!$A:$A,0))="Help to Buy","Only available","No"),"")</f>
        <v/>
      </c>
      <c r="CD232" s="146" t="str">
        <f>_xlfn.IFNA(IF(INDEX(Producer!$P:$P,MATCH($D232,Producer!$A:$A,0))="Shared Ownership","Only available","No"),"")</f>
        <v/>
      </c>
      <c r="CE232" s="146" t="str">
        <f>_xlfn.IFNA(IF(INDEX(Producer!$P:$P,MATCH($D232,Producer!$A:$A,0))="Right to Buy","Only available","No"),"")</f>
        <v/>
      </c>
      <c r="CF232" s="146" t="str">
        <f t="shared" si="100"/>
        <v/>
      </c>
      <c r="CG232" s="146" t="str">
        <f>_xlfn.IFNA(IF(INDEX(Producer!$P:$P,MATCH($D232,Producer!$A:$A,0))="Retirement Interest Only","Only available","No"),"")</f>
        <v/>
      </c>
      <c r="CH232" s="146" t="str">
        <f t="shared" si="101"/>
        <v/>
      </c>
      <c r="CI232" s="146" t="str">
        <f>_xlfn.IFNA(IF(INDEX(Producer!$P:$P,MATCH($D232,Producer!$A:$A,0))="Intermediary Holiday Let","Only available","No"),"")</f>
        <v/>
      </c>
      <c r="CJ232" s="146" t="str">
        <f t="shared" si="102"/>
        <v/>
      </c>
      <c r="CK232" s="146" t="str">
        <f>_xlfn.IFNA(IF(OR(INDEX(Producer!$P:$P,MATCH($D232,Producer!$A:$A,0))="Intermediary Small HMO",INDEX(Producer!$P:$P,MATCH($D232,Producer!$A:$A,0))="Intermediary Large HMO"),"Only available","No"),"")</f>
        <v/>
      </c>
      <c r="CL232" s="146" t="str">
        <f t="shared" si="103"/>
        <v/>
      </c>
      <c r="CM232" s="146" t="str">
        <f t="shared" si="104"/>
        <v/>
      </c>
      <c r="CN232" s="146" t="str">
        <f t="shared" si="105"/>
        <v/>
      </c>
      <c r="CO232" s="146" t="str">
        <f t="shared" si="106"/>
        <v/>
      </c>
      <c r="CP232" s="146" t="str">
        <f t="shared" si="107"/>
        <v/>
      </c>
      <c r="CQ232" s="146" t="str">
        <f t="shared" si="108"/>
        <v/>
      </c>
      <c r="CR232" s="146" t="str">
        <f t="shared" si="109"/>
        <v/>
      </c>
      <c r="CS232" s="146" t="str">
        <f t="shared" si="110"/>
        <v/>
      </c>
      <c r="CT232" s="146" t="str">
        <f t="shared" si="111"/>
        <v/>
      </c>
      <c r="CU232" s="146"/>
    </row>
    <row r="233" spans="1:99" ht="16.399999999999999" customHeight="1" x14ac:dyDescent="0.35">
      <c r="A233" s="145" t="str">
        <f t="shared" si="84"/>
        <v/>
      </c>
      <c r="B233" s="145" t="str">
        <f>_xlfn.IFNA(_xlfn.CONCAT(INDEX(Producer!$P:$P,MATCH($D233,Producer!$A:$A,0))," ",IF(INDEX(Producer!$N:$N,MATCH($D233,Producer!$A:$A,0))="Yes","Green ",""),IF(AND(INDEX(Producer!$L:$L,MATCH($D233,Producer!$A:$A,0))="No",INDEX(Producer!$C:$C,MATCH($D233,Producer!$A:$A,0))="Fixed"),"Flexit ",""),INDEX(Producer!$B:$B,MATCH($D233,Producer!$A:$A,0))," Year ",INDEX(Producer!$C:$C,MATCH($D233,Producer!$A:$A,0))," ",VALUE(INDEX(Producer!$E:$E,MATCH($D233,Producer!$A:$A,0)))*100,"% LTV",IF(INDEX(Producer!$N:$N,MATCH($D233,Producer!$A:$A,0))="Yes"," (EPC A-C)","")," - ",IF(INDEX(Producer!$D:$D,MATCH($D233,Producer!$A:$A,0))="DLY","Daily","Annual")),"")</f>
        <v/>
      </c>
      <c r="C233" s="146" t="str">
        <f>_xlfn.IFNA(INDEX(Producer!$Q:$Q,MATCH($D233,Producer!$A:$A,0)),"")</f>
        <v/>
      </c>
      <c r="D233" s="146" t="str">
        <f>IFERROR(VALUE(MID(Producer!$R$2,IF($D232="",1/0,FIND(_xlfn.CONCAT($D231,$D232),Producer!$R$2)+10),5)),"")</f>
        <v/>
      </c>
      <c r="E233" s="146" t="str">
        <f t="shared" si="85"/>
        <v/>
      </c>
      <c r="F233" s="146"/>
      <c r="G233" s="147" t="str">
        <f>_xlfn.IFNA(VALUE(INDEX(Producer!$F:$F,MATCH($D233,Producer!$A:$A,0)))*100,"")</f>
        <v/>
      </c>
      <c r="H233" s="216" t="str">
        <f>_xlfn.IFNA(IFERROR(DATEVALUE(INDEX(Producer!$M:$M,MATCH($D233,Producer!$A:$A,0))),(INDEX(Producer!$M:$M,MATCH($D233,Producer!$A:$A,0)))),"")</f>
        <v/>
      </c>
      <c r="I233" s="217" t="str">
        <f>_xlfn.IFNA(VALUE(INDEX(Producer!$B:$B,MATCH($D233,Producer!$A:$A,0)))*12,"")</f>
        <v/>
      </c>
      <c r="J233" s="146" t="str">
        <f>_xlfn.IFNA(IF(C233="Residential",IF(VALUE(INDEX(Producer!$B:$B,MATCH($D233,Producer!$A:$A,0)))&lt;5,Constants!$C$10,""),IF(VALUE(INDEX(Producer!$B:$B,MATCH($D233,Producer!$A:$A,0)))&lt;5,Constants!$C$11,"")),"")</f>
        <v/>
      </c>
      <c r="K233" s="216" t="str">
        <f>_xlfn.IFNA(IF(($I233)&lt;60,DATE(YEAR(H233)+(5-VALUE(INDEX(Producer!$B:$B,MATCH($D233,Producer!$A:$A,0)))),MONTH(H233),DAY(H233)),""),"")</f>
        <v/>
      </c>
      <c r="L233" s="153" t="str">
        <f t="shared" si="86"/>
        <v/>
      </c>
      <c r="M233" s="146"/>
      <c r="N233" s="148"/>
      <c r="O233" s="148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  <c r="AB233" s="146"/>
      <c r="AC233" s="146"/>
      <c r="AD233" s="146"/>
      <c r="AE233" s="146"/>
      <c r="AF233" s="146"/>
      <c r="AG233" s="146"/>
      <c r="AH233" s="146"/>
      <c r="AI233" s="146"/>
      <c r="AJ233" s="146"/>
      <c r="AK233" s="146" t="str">
        <f>IF(D233="","",IF(C233="Residential",Constants!$B$10,Constants!$B$11))</f>
        <v/>
      </c>
      <c r="AL233" s="146" t="str">
        <f t="shared" si="87"/>
        <v/>
      </c>
      <c r="AM233" s="206" t="str">
        <f t="shared" si="88"/>
        <v/>
      </c>
      <c r="AN233" s="146" t="str">
        <f t="shared" si="89"/>
        <v/>
      </c>
      <c r="AO233" s="149" t="str">
        <f t="shared" si="90"/>
        <v/>
      </c>
      <c r="AP233" s="150" t="str">
        <f t="shared" si="91"/>
        <v/>
      </c>
      <c r="AQ233" s="146" t="str">
        <f>IFERROR(_xlfn.IFNA(IF($BA233="No",0,IF(INDEX(Constants!B:B,MATCH(($I233/12),Constants!$A:$A,0))=0,0,INDEX(Constants!B:B,MATCH(($I233/12),Constants!$A:$A,0)))),0),"")</f>
        <v/>
      </c>
      <c r="AR233" s="146" t="str">
        <f>IFERROR(_xlfn.IFNA(IF($BA233="No",0,IF(INDEX(Constants!C:C,MATCH(($I233/12),Constants!$A:$A,0))=0,0,INDEX(Constants!C:C,MATCH(($I233/12),Constants!$A:$A,0)))),0),"")</f>
        <v/>
      </c>
      <c r="AS233" s="146" t="str">
        <f>IFERROR(_xlfn.IFNA(IF($BA233="No",0,IF(INDEX(Constants!D:D,MATCH(($I233/12),Constants!$A:$A,0))=0,0,INDEX(Constants!D:D,MATCH(($I233/12),Constants!$A:$A,0)))),0),"")</f>
        <v/>
      </c>
      <c r="AT233" s="146" t="str">
        <f>IFERROR(_xlfn.IFNA(IF($BA233="No",0,IF(INDEX(Constants!E:E,MATCH(($I233/12),Constants!$A:$A,0))=0,0,INDEX(Constants!E:E,MATCH(($I233/12),Constants!$A:$A,0)))),0),"")</f>
        <v/>
      </c>
      <c r="AU233" s="146" t="str">
        <f>IFERROR(_xlfn.IFNA(IF($BA233="No",0,IF(INDEX(Constants!F:F,MATCH(($I233/12),Constants!$A:$A,0))=0,0,INDEX(Constants!F:F,MATCH(($I233/12),Constants!$A:$A,0)))),0),"")</f>
        <v/>
      </c>
      <c r="AV233" s="146" t="str">
        <f>IFERROR(_xlfn.IFNA(IF($BA233="No",0,IF(INDEX(Constants!G:G,MATCH(($I233/12),Constants!$A:$A,0))=0,0,INDEX(Constants!G:G,MATCH(($I233/12),Constants!$A:$A,0)))),0),"")</f>
        <v/>
      </c>
      <c r="AW233" s="146" t="str">
        <f>IFERROR(_xlfn.IFNA(IF($BA233="No",0,IF(INDEX(Constants!H:H,MATCH(($I233/12),Constants!$A:$A,0))=0,0,INDEX(Constants!H:H,MATCH(($I233/12),Constants!$A:$A,0)))),0),"")</f>
        <v/>
      </c>
      <c r="AX233" s="146" t="str">
        <f>IFERROR(_xlfn.IFNA(IF($BA233="No",0,IF(INDEX(Constants!I:I,MATCH(($I233/12),Constants!$A:$A,0))=0,0,INDEX(Constants!I:I,MATCH(($I233/12),Constants!$A:$A,0)))),0),"")</f>
        <v/>
      </c>
      <c r="AY233" s="146" t="str">
        <f>IFERROR(_xlfn.IFNA(IF($BA233="No",0,IF(INDEX(Constants!J:J,MATCH(($I233/12),Constants!$A:$A,0))=0,0,INDEX(Constants!J:J,MATCH(($I233/12),Constants!$A:$A,0)))),0),"")</f>
        <v/>
      </c>
      <c r="AZ233" s="146" t="str">
        <f>IFERROR(_xlfn.IFNA(IF($BA233="No",0,IF(INDEX(Constants!K:K,MATCH(($I233/12),Constants!$A:$A,0))=0,0,INDEX(Constants!K:K,MATCH(($I233/12),Constants!$A:$A,0)))),0),"")</f>
        <v/>
      </c>
      <c r="BA233" s="147" t="str">
        <f>_xlfn.IFNA(INDEX(Producer!$L:$L,MATCH($D233,Producer!$A:$A,0)),"")</f>
        <v/>
      </c>
      <c r="BB233" s="146" t="str">
        <f>IFERROR(IF(AQ233=0,"",IF(($I233/12)=15,_xlfn.CONCAT(Constants!$N$7,TEXT(DATE(YEAR(H233)-(($I233/12)-3),MONTH(H233),DAY(H233)),"dd/mm/yyyy"),", ",Constants!$P$7,TEXT(DATE(YEAR(H233)-(($I233/12)-8),MONTH(H233),DAY(H233)),"dd/mm/yyyy"),", ",Constants!$T$7,TEXT(DATE(YEAR(H233)-(($I233/12)-11),MONTH(H233),DAY(H233)),"dd/mm/yyyy"),", ",Constants!$V$7,TEXT(DATE(YEAR(H233)-(($I233/12)-13),MONTH(H233),DAY(H233)),"dd/mm/yyyy"),", ",Constants!$W$7,TEXT($H233,"dd/mm/yyyy")),IF(($I233/12)=10,_xlfn.CONCAT(Constants!$N$6,TEXT(DATE(YEAR(H233)-(($I233/12)-2),MONTH(H233),DAY(H233)),"dd/mm/yyyy"),", ",Constants!$P$6,TEXT(DATE(YEAR(H233)-(($I233/12)-6),MONTH(H233),DAY(H233)),"dd/mm/yyyy"),", ",Constants!$T$6,TEXT(DATE(YEAR(H233)-(($I233/12)-8),MONTH(H233),DAY(H233)),"dd/mm/yyyy"),", ",Constants!$V$6,TEXT(DATE(YEAR(H233)-(($I233/12)-9),MONTH(H233),DAY(H233)),"dd/mm/yyyy"),", ",Constants!$W$6,TEXT($H233,"dd/mm/yyyy")),IF(($I233/12)=5,_xlfn.CONCAT(Constants!$N$5,TEXT(DATE(YEAR(H233)-(($I233/12)-1),MONTH(H233),DAY(H233)),"dd/mm/yyyy"),", ",Constants!$O$5,TEXT(DATE(YEAR(H233)-(($I233/12)-2),MONTH(H233),DAY(H233)),"dd/mm/yyyy"),", ",Constants!$P$5,TEXT(DATE(YEAR(H233)-(($I233/12)-3),MONTH(H233),DAY(H233)),"dd/mm/yyyy"),", ",Constants!$Q$5,TEXT(DATE(YEAR(H233)-(($I233/12)-4),MONTH(H233),DAY(H233)),"dd/mm/yyyy"),", ",Constants!$R$5,TEXT($H233,"dd/mm/yyyy")),IF(($I233/12)=3,_xlfn.CONCAT(Constants!$N$4,TEXT(DATE(YEAR(H233)-(($I233/12)-1),MONTH(H233),DAY(H233)),"dd/mm/yyyy"),", ",Constants!$O$4,TEXT(DATE(YEAR(H233)-(($I233/12)-2),MONTH(H233),DAY(H233)),"dd/mm/yyyy"),", ",Constants!$P$4,TEXT($H233,"dd/mm/yyyy")),IF(($I233/12)=2,_xlfn.CONCAT(Constants!$N$3,TEXT(DATE(YEAR(H233)-(($I233/12)-1),MONTH(H233),DAY(H233)),"dd/mm/yyyy"),", ",Constants!$O$3,TEXT($H233,"dd/mm/yyyy")),IF(($I233/12)=1,_xlfn.CONCAT(Constants!$N$2,TEXT($H233,"dd/mm/yyyy")),"Update Constants"))))))),"")</f>
        <v/>
      </c>
      <c r="BC233" s="147" t="str">
        <f>_xlfn.IFNA(VALUE(INDEX(Producer!$K:$K,MATCH($D233,Producer!$A:$A,0))),"")</f>
        <v/>
      </c>
      <c r="BD233" s="147" t="str">
        <f>_xlfn.IFNA(INDEX(Producer!$I:$I,MATCH($D233,Producer!$A:$A,0)),"")</f>
        <v/>
      </c>
      <c r="BE233" s="147" t="str">
        <f t="shared" si="92"/>
        <v/>
      </c>
      <c r="BF233" s="147"/>
      <c r="BG233" s="147"/>
      <c r="BH233" s="151" t="str">
        <f>_xlfn.IFNA(INDEX(Constants!$B:$B,MATCH(BC233,Constants!A:A,0)),"")</f>
        <v/>
      </c>
      <c r="BI233" s="147" t="str">
        <f>IF(LEFT(B233,15)="Limited Company",Constants!$D$16,IFERROR(_xlfn.IFNA(IF(C233="Residential",IF(BK233&lt;75,INDEX(Constants!$B:$B,MATCH(VALUE(60)/100,Constants!$A:$A,0)),INDEX(Constants!$B:$B,MATCH(VALUE(BK233)/100,Constants!$A:$A,0))),IF(BK233&lt;60,INDEX(Constants!$C:$C,MATCH(VALUE(60)/100,Constants!$A:$A,0)),INDEX(Constants!$C:$C,MATCH(VALUE(BK233)/100,Constants!$A:$A,0)))),""),""))</f>
        <v/>
      </c>
      <c r="BJ233" s="147" t="str">
        <f t="shared" si="93"/>
        <v/>
      </c>
      <c r="BK233" s="147" t="str">
        <f>_xlfn.IFNA(VALUE(INDEX(Producer!$E:$E,MATCH($D233,Producer!$A:$A,0)))*100,"")</f>
        <v/>
      </c>
      <c r="BL233" s="146" t="str">
        <f>_xlfn.IFNA(IF(IFERROR(FIND("Part &amp; Part",B233),-10)&gt;0,"PP",IF(OR(LEFT(B233,25)="Residential Interest Only",INDEX(Producer!$P:$P,MATCH($D233,Producer!$A:$A,0))="IO",INDEX(Producer!$P:$P,MATCH($D233,Producer!$A:$A,0))="Retirement Interest Only"),"IO",IF($C233="BuyToLet","CI, IO","CI"))),"")</f>
        <v/>
      </c>
      <c r="BM233" s="152" t="str">
        <f>_xlfn.IFNA(IF(BL233="IO",100%,IF(AND(INDEX(Producer!$P:$P,MATCH($D233,Producer!$A:$A,0))="Residential Interest Only Part &amp; Part",BK233=75),80%,IF(C233="BuyToLet",100%,IF(BL233="Interest Only",100%,IF(AND(INDEX(Producer!$P:$P,MATCH($D233,Producer!$A:$A,0))="Residential Interest Only Part &amp; Part",BK233=60),100%,""))))),"")</f>
        <v/>
      </c>
      <c r="BN233" s="218" t="str">
        <f>_xlfn.IFNA(IF(VALUE(INDEX(Producer!$H:$H,MATCH($D233,Producer!$A:$A,0)))=0,"",VALUE(INDEX(Producer!$H:$H,MATCH($D233,Producer!$A:$A,0)))),"")</f>
        <v/>
      </c>
      <c r="BO233" s="153"/>
      <c r="BP233" s="153"/>
      <c r="BQ233" s="219" t="str">
        <f t="shared" si="94"/>
        <v/>
      </c>
      <c r="BR233" s="146"/>
      <c r="BS233" s="146"/>
      <c r="BT233" s="146"/>
      <c r="BU233" s="146"/>
      <c r="BV233" s="219" t="str">
        <f t="shared" si="95"/>
        <v/>
      </c>
      <c r="BW233" s="146"/>
      <c r="BX233" s="146"/>
      <c r="BY233" s="146" t="str">
        <f t="shared" si="96"/>
        <v/>
      </c>
      <c r="BZ233" s="146" t="str">
        <f t="shared" si="97"/>
        <v/>
      </c>
      <c r="CA233" s="146" t="str">
        <f t="shared" si="98"/>
        <v/>
      </c>
      <c r="CB233" s="146" t="str">
        <f t="shared" si="99"/>
        <v/>
      </c>
      <c r="CC233" s="146" t="str">
        <f>_xlfn.IFNA(IF(INDEX(Producer!$P:$P,MATCH($D233,Producer!$A:$A,0))="Help to Buy","Only available","No"),"")</f>
        <v/>
      </c>
      <c r="CD233" s="146" t="str">
        <f>_xlfn.IFNA(IF(INDEX(Producer!$P:$P,MATCH($D233,Producer!$A:$A,0))="Shared Ownership","Only available","No"),"")</f>
        <v/>
      </c>
      <c r="CE233" s="146" t="str">
        <f>_xlfn.IFNA(IF(INDEX(Producer!$P:$P,MATCH($D233,Producer!$A:$A,0))="Right to Buy","Only available","No"),"")</f>
        <v/>
      </c>
      <c r="CF233" s="146" t="str">
        <f t="shared" si="100"/>
        <v/>
      </c>
      <c r="CG233" s="146" t="str">
        <f>_xlfn.IFNA(IF(INDEX(Producer!$P:$P,MATCH($D233,Producer!$A:$A,0))="Retirement Interest Only","Only available","No"),"")</f>
        <v/>
      </c>
      <c r="CH233" s="146" t="str">
        <f t="shared" si="101"/>
        <v/>
      </c>
      <c r="CI233" s="146" t="str">
        <f>_xlfn.IFNA(IF(INDEX(Producer!$P:$P,MATCH($D233,Producer!$A:$A,0))="Intermediary Holiday Let","Only available","No"),"")</f>
        <v/>
      </c>
      <c r="CJ233" s="146" t="str">
        <f t="shared" si="102"/>
        <v/>
      </c>
      <c r="CK233" s="146" t="str">
        <f>_xlfn.IFNA(IF(OR(INDEX(Producer!$P:$P,MATCH($D233,Producer!$A:$A,0))="Intermediary Small HMO",INDEX(Producer!$P:$P,MATCH($D233,Producer!$A:$A,0))="Intermediary Large HMO"),"Only available","No"),"")</f>
        <v/>
      </c>
      <c r="CL233" s="146" t="str">
        <f t="shared" si="103"/>
        <v/>
      </c>
      <c r="CM233" s="146" t="str">
        <f t="shared" si="104"/>
        <v/>
      </c>
      <c r="CN233" s="146" t="str">
        <f t="shared" si="105"/>
        <v/>
      </c>
      <c r="CO233" s="146" t="str">
        <f t="shared" si="106"/>
        <v/>
      </c>
      <c r="CP233" s="146" t="str">
        <f t="shared" si="107"/>
        <v/>
      </c>
      <c r="CQ233" s="146" t="str">
        <f t="shared" si="108"/>
        <v/>
      </c>
      <c r="CR233" s="146" t="str">
        <f t="shared" si="109"/>
        <v/>
      </c>
      <c r="CS233" s="146" t="str">
        <f t="shared" si="110"/>
        <v/>
      </c>
      <c r="CT233" s="146" t="str">
        <f t="shared" si="111"/>
        <v/>
      </c>
      <c r="CU233" s="146"/>
    </row>
    <row r="234" spans="1:99" ht="16.399999999999999" customHeight="1" x14ac:dyDescent="0.35">
      <c r="A234" s="145" t="str">
        <f t="shared" si="84"/>
        <v/>
      </c>
      <c r="B234" s="145" t="str">
        <f>_xlfn.IFNA(_xlfn.CONCAT(INDEX(Producer!$P:$P,MATCH($D234,Producer!$A:$A,0))," ",IF(INDEX(Producer!$N:$N,MATCH($D234,Producer!$A:$A,0))="Yes","Green ",""),IF(AND(INDEX(Producer!$L:$L,MATCH($D234,Producer!$A:$A,0))="No",INDEX(Producer!$C:$C,MATCH($D234,Producer!$A:$A,0))="Fixed"),"Flexit ",""),INDEX(Producer!$B:$B,MATCH($D234,Producer!$A:$A,0))," Year ",INDEX(Producer!$C:$C,MATCH($D234,Producer!$A:$A,0))," ",VALUE(INDEX(Producer!$E:$E,MATCH($D234,Producer!$A:$A,0)))*100,"% LTV",IF(INDEX(Producer!$N:$N,MATCH($D234,Producer!$A:$A,0))="Yes"," (EPC A-C)","")," - ",IF(INDEX(Producer!$D:$D,MATCH($D234,Producer!$A:$A,0))="DLY","Daily","Annual")),"")</f>
        <v/>
      </c>
      <c r="C234" s="146" t="str">
        <f>_xlfn.IFNA(INDEX(Producer!$Q:$Q,MATCH($D234,Producer!$A:$A,0)),"")</f>
        <v/>
      </c>
      <c r="D234" s="146" t="str">
        <f>IFERROR(VALUE(MID(Producer!$R$2,IF($D233="",1/0,FIND(_xlfn.CONCAT($D232,$D233),Producer!$R$2)+10),5)),"")</f>
        <v/>
      </c>
      <c r="E234" s="146" t="str">
        <f t="shared" si="85"/>
        <v/>
      </c>
      <c r="F234" s="146"/>
      <c r="G234" s="147" t="str">
        <f>_xlfn.IFNA(VALUE(INDEX(Producer!$F:$F,MATCH($D234,Producer!$A:$A,0)))*100,"")</f>
        <v/>
      </c>
      <c r="H234" s="216" t="str">
        <f>_xlfn.IFNA(IFERROR(DATEVALUE(INDEX(Producer!$M:$M,MATCH($D234,Producer!$A:$A,0))),(INDEX(Producer!$M:$M,MATCH($D234,Producer!$A:$A,0)))),"")</f>
        <v/>
      </c>
      <c r="I234" s="217" t="str">
        <f>_xlfn.IFNA(VALUE(INDEX(Producer!$B:$B,MATCH($D234,Producer!$A:$A,0)))*12,"")</f>
        <v/>
      </c>
      <c r="J234" s="146" t="str">
        <f>_xlfn.IFNA(IF(C234="Residential",IF(VALUE(INDEX(Producer!$B:$B,MATCH($D234,Producer!$A:$A,0)))&lt;5,Constants!$C$10,""),IF(VALUE(INDEX(Producer!$B:$B,MATCH($D234,Producer!$A:$A,0)))&lt;5,Constants!$C$11,"")),"")</f>
        <v/>
      </c>
      <c r="K234" s="216" t="str">
        <f>_xlfn.IFNA(IF(($I234)&lt;60,DATE(YEAR(H234)+(5-VALUE(INDEX(Producer!$B:$B,MATCH($D234,Producer!$A:$A,0)))),MONTH(H234),DAY(H234)),""),"")</f>
        <v/>
      </c>
      <c r="L234" s="153" t="str">
        <f t="shared" si="86"/>
        <v/>
      </c>
      <c r="M234" s="146"/>
      <c r="N234" s="148"/>
      <c r="O234" s="148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6"/>
      <c r="AK234" s="146" t="str">
        <f>IF(D234="","",IF(C234="Residential",Constants!$B$10,Constants!$B$11))</f>
        <v/>
      </c>
      <c r="AL234" s="146" t="str">
        <f t="shared" si="87"/>
        <v/>
      </c>
      <c r="AM234" s="206" t="str">
        <f t="shared" si="88"/>
        <v/>
      </c>
      <c r="AN234" s="146" t="str">
        <f t="shared" si="89"/>
        <v/>
      </c>
      <c r="AO234" s="149" t="str">
        <f t="shared" si="90"/>
        <v/>
      </c>
      <c r="AP234" s="150" t="str">
        <f t="shared" si="91"/>
        <v/>
      </c>
      <c r="AQ234" s="146" t="str">
        <f>IFERROR(_xlfn.IFNA(IF($BA234="No",0,IF(INDEX(Constants!B:B,MATCH(($I234/12),Constants!$A:$A,0))=0,0,INDEX(Constants!B:B,MATCH(($I234/12),Constants!$A:$A,0)))),0),"")</f>
        <v/>
      </c>
      <c r="AR234" s="146" t="str">
        <f>IFERROR(_xlfn.IFNA(IF($BA234="No",0,IF(INDEX(Constants!C:C,MATCH(($I234/12),Constants!$A:$A,0))=0,0,INDEX(Constants!C:C,MATCH(($I234/12),Constants!$A:$A,0)))),0),"")</f>
        <v/>
      </c>
      <c r="AS234" s="146" t="str">
        <f>IFERROR(_xlfn.IFNA(IF($BA234="No",0,IF(INDEX(Constants!D:D,MATCH(($I234/12),Constants!$A:$A,0))=0,0,INDEX(Constants!D:D,MATCH(($I234/12),Constants!$A:$A,0)))),0),"")</f>
        <v/>
      </c>
      <c r="AT234" s="146" t="str">
        <f>IFERROR(_xlfn.IFNA(IF($BA234="No",0,IF(INDEX(Constants!E:E,MATCH(($I234/12),Constants!$A:$A,0))=0,0,INDEX(Constants!E:E,MATCH(($I234/12),Constants!$A:$A,0)))),0),"")</f>
        <v/>
      </c>
      <c r="AU234" s="146" t="str">
        <f>IFERROR(_xlfn.IFNA(IF($BA234="No",0,IF(INDEX(Constants!F:F,MATCH(($I234/12),Constants!$A:$A,0))=0,0,INDEX(Constants!F:F,MATCH(($I234/12),Constants!$A:$A,0)))),0),"")</f>
        <v/>
      </c>
      <c r="AV234" s="146" t="str">
        <f>IFERROR(_xlfn.IFNA(IF($BA234="No",0,IF(INDEX(Constants!G:G,MATCH(($I234/12),Constants!$A:$A,0))=0,0,INDEX(Constants!G:G,MATCH(($I234/12),Constants!$A:$A,0)))),0),"")</f>
        <v/>
      </c>
      <c r="AW234" s="146" t="str">
        <f>IFERROR(_xlfn.IFNA(IF($BA234="No",0,IF(INDEX(Constants!H:H,MATCH(($I234/12),Constants!$A:$A,0))=0,0,INDEX(Constants!H:H,MATCH(($I234/12),Constants!$A:$A,0)))),0),"")</f>
        <v/>
      </c>
      <c r="AX234" s="146" t="str">
        <f>IFERROR(_xlfn.IFNA(IF($BA234="No",0,IF(INDEX(Constants!I:I,MATCH(($I234/12),Constants!$A:$A,0))=0,0,INDEX(Constants!I:I,MATCH(($I234/12),Constants!$A:$A,0)))),0),"")</f>
        <v/>
      </c>
      <c r="AY234" s="146" t="str">
        <f>IFERROR(_xlfn.IFNA(IF($BA234="No",0,IF(INDEX(Constants!J:J,MATCH(($I234/12),Constants!$A:$A,0))=0,0,INDEX(Constants!J:J,MATCH(($I234/12),Constants!$A:$A,0)))),0),"")</f>
        <v/>
      </c>
      <c r="AZ234" s="146" t="str">
        <f>IFERROR(_xlfn.IFNA(IF($BA234="No",0,IF(INDEX(Constants!K:K,MATCH(($I234/12),Constants!$A:$A,0))=0,0,INDEX(Constants!K:K,MATCH(($I234/12),Constants!$A:$A,0)))),0),"")</f>
        <v/>
      </c>
      <c r="BA234" s="147" t="str">
        <f>_xlfn.IFNA(INDEX(Producer!$L:$L,MATCH($D234,Producer!$A:$A,0)),"")</f>
        <v/>
      </c>
      <c r="BB234" s="146" t="str">
        <f>IFERROR(IF(AQ234=0,"",IF(($I234/12)=15,_xlfn.CONCAT(Constants!$N$7,TEXT(DATE(YEAR(H234)-(($I234/12)-3),MONTH(H234),DAY(H234)),"dd/mm/yyyy"),", ",Constants!$P$7,TEXT(DATE(YEAR(H234)-(($I234/12)-8),MONTH(H234),DAY(H234)),"dd/mm/yyyy"),", ",Constants!$T$7,TEXT(DATE(YEAR(H234)-(($I234/12)-11),MONTH(H234),DAY(H234)),"dd/mm/yyyy"),", ",Constants!$V$7,TEXT(DATE(YEAR(H234)-(($I234/12)-13),MONTH(H234),DAY(H234)),"dd/mm/yyyy"),", ",Constants!$W$7,TEXT($H234,"dd/mm/yyyy")),IF(($I234/12)=10,_xlfn.CONCAT(Constants!$N$6,TEXT(DATE(YEAR(H234)-(($I234/12)-2),MONTH(H234),DAY(H234)),"dd/mm/yyyy"),", ",Constants!$P$6,TEXT(DATE(YEAR(H234)-(($I234/12)-6),MONTH(H234),DAY(H234)),"dd/mm/yyyy"),", ",Constants!$T$6,TEXT(DATE(YEAR(H234)-(($I234/12)-8),MONTH(H234),DAY(H234)),"dd/mm/yyyy"),", ",Constants!$V$6,TEXT(DATE(YEAR(H234)-(($I234/12)-9),MONTH(H234),DAY(H234)),"dd/mm/yyyy"),", ",Constants!$W$6,TEXT($H234,"dd/mm/yyyy")),IF(($I234/12)=5,_xlfn.CONCAT(Constants!$N$5,TEXT(DATE(YEAR(H234)-(($I234/12)-1),MONTH(H234),DAY(H234)),"dd/mm/yyyy"),", ",Constants!$O$5,TEXT(DATE(YEAR(H234)-(($I234/12)-2),MONTH(H234),DAY(H234)),"dd/mm/yyyy"),", ",Constants!$P$5,TEXT(DATE(YEAR(H234)-(($I234/12)-3),MONTH(H234),DAY(H234)),"dd/mm/yyyy"),", ",Constants!$Q$5,TEXT(DATE(YEAR(H234)-(($I234/12)-4),MONTH(H234),DAY(H234)),"dd/mm/yyyy"),", ",Constants!$R$5,TEXT($H234,"dd/mm/yyyy")),IF(($I234/12)=3,_xlfn.CONCAT(Constants!$N$4,TEXT(DATE(YEAR(H234)-(($I234/12)-1),MONTH(H234),DAY(H234)),"dd/mm/yyyy"),", ",Constants!$O$4,TEXT(DATE(YEAR(H234)-(($I234/12)-2),MONTH(H234),DAY(H234)),"dd/mm/yyyy"),", ",Constants!$P$4,TEXT($H234,"dd/mm/yyyy")),IF(($I234/12)=2,_xlfn.CONCAT(Constants!$N$3,TEXT(DATE(YEAR(H234)-(($I234/12)-1),MONTH(H234),DAY(H234)),"dd/mm/yyyy"),", ",Constants!$O$3,TEXT($H234,"dd/mm/yyyy")),IF(($I234/12)=1,_xlfn.CONCAT(Constants!$N$2,TEXT($H234,"dd/mm/yyyy")),"Update Constants"))))))),"")</f>
        <v/>
      </c>
      <c r="BC234" s="147" t="str">
        <f>_xlfn.IFNA(VALUE(INDEX(Producer!$K:$K,MATCH($D234,Producer!$A:$A,0))),"")</f>
        <v/>
      </c>
      <c r="BD234" s="147" t="str">
        <f>_xlfn.IFNA(INDEX(Producer!$I:$I,MATCH($D234,Producer!$A:$A,0)),"")</f>
        <v/>
      </c>
      <c r="BE234" s="147" t="str">
        <f t="shared" si="92"/>
        <v/>
      </c>
      <c r="BF234" s="147"/>
      <c r="BG234" s="147"/>
      <c r="BH234" s="151" t="str">
        <f>_xlfn.IFNA(INDEX(Constants!$B:$B,MATCH(BC234,Constants!A:A,0)),"")</f>
        <v/>
      </c>
      <c r="BI234" s="147" t="str">
        <f>IF(LEFT(B234,15)="Limited Company",Constants!$D$16,IFERROR(_xlfn.IFNA(IF(C234="Residential",IF(BK234&lt;75,INDEX(Constants!$B:$B,MATCH(VALUE(60)/100,Constants!$A:$A,0)),INDEX(Constants!$B:$B,MATCH(VALUE(BK234)/100,Constants!$A:$A,0))),IF(BK234&lt;60,INDEX(Constants!$C:$C,MATCH(VALUE(60)/100,Constants!$A:$A,0)),INDEX(Constants!$C:$C,MATCH(VALUE(BK234)/100,Constants!$A:$A,0)))),""),""))</f>
        <v/>
      </c>
      <c r="BJ234" s="147" t="str">
        <f t="shared" si="93"/>
        <v/>
      </c>
      <c r="BK234" s="147" t="str">
        <f>_xlfn.IFNA(VALUE(INDEX(Producer!$E:$E,MATCH($D234,Producer!$A:$A,0)))*100,"")</f>
        <v/>
      </c>
      <c r="BL234" s="146" t="str">
        <f>_xlfn.IFNA(IF(IFERROR(FIND("Part &amp; Part",B234),-10)&gt;0,"PP",IF(OR(LEFT(B234,25)="Residential Interest Only",INDEX(Producer!$P:$P,MATCH($D234,Producer!$A:$A,0))="IO",INDEX(Producer!$P:$P,MATCH($D234,Producer!$A:$A,0))="Retirement Interest Only"),"IO",IF($C234="BuyToLet","CI, IO","CI"))),"")</f>
        <v/>
      </c>
      <c r="BM234" s="152" t="str">
        <f>_xlfn.IFNA(IF(BL234="IO",100%,IF(AND(INDEX(Producer!$P:$P,MATCH($D234,Producer!$A:$A,0))="Residential Interest Only Part &amp; Part",BK234=75),80%,IF(C234="BuyToLet",100%,IF(BL234="Interest Only",100%,IF(AND(INDEX(Producer!$P:$P,MATCH($D234,Producer!$A:$A,0))="Residential Interest Only Part &amp; Part",BK234=60),100%,""))))),"")</f>
        <v/>
      </c>
      <c r="BN234" s="218" t="str">
        <f>_xlfn.IFNA(IF(VALUE(INDEX(Producer!$H:$H,MATCH($D234,Producer!$A:$A,0)))=0,"",VALUE(INDEX(Producer!$H:$H,MATCH($D234,Producer!$A:$A,0)))),"")</f>
        <v/>
      </c>
      <c r="BO234" s="153"/>
      <c r="BP234" s="153"/>
      <c r="BQ234" s="219" t="str">
        <f t="shared" si="94"/>
        <v/>
      </c>
      <c r="BR234" s="146"/>
      <c r="BS234" s="146"/>
      <c r="BT234" s="146"/>
      <c r="BU234" s="146"/>
      <c r="BV234" s="219" t="str">
        <f t="shared" si="95"/>
        <v/>
      </c>
      <c r="BW234" s="146"/>
      <c r="BX234" s="146"/>
      <c r="BY234" s="146" t="str">
        <f t="shared" si="96"/>
        <v/>
      </c>
      <c r="BZ234" s="146" t="str">
        <f t="shared" si="97"/>
        <v/>
      </c>
      <c r="CA234" s="146" t="str">
        <f t="shared" si="98"/>
        <v/>
      </c>
      <c r="CB234" s="146" t="str">
        <f t="shared" si="99"/>
        <v/>
      </c>
      <c r="CC234" s="146" t="str">
        <f>_xlfn.IFNA(IF(INDEX(Producer!$P:$P,MATCH($D234,Producer!$A:$A,0))="Help to Buy","Only available","No"),"")</f>
        <v/>
      </c>
      <c r="CD234" s="146" t="str">
        <f>_xlfn.IFNA(IF(INDEX(Producer!$P:$P,MATCH($D234,Producer!$A:$A,0))="Shared Ownership","Only available","No"),"")</f>
        <v/>
      </c>
      <c r="CE234" s="146" t="str">
        <f>_xlfn.IFNA(IF(INDEX(Producer!$P:$P,MATCH($D234,Producer!$A:$A,0))="Right to Buy","Only available","No"),"")</f>
        <v/>
      </c>
      <c r="CF234" s="146" t="str">
        <f t="shared" si="100"/>
        <v/>
      </c>
      <c r="CG234" s="146" t="str">
        <f>_xlfn.IFNA(IF(INDEX(Producer!$P:$P,MATCH($D234,Producer!$A:$A,0))="Retirement Interest Only","Only available","No"),"")</f>
        <v/>
      </c>
      <c r="CH234" s="146" t="str">
        <f t="shared" si="101"/>
        <v/>
      </c>
      <c r="CI234" s="146" t="str">
        <f>_xlfn.IFNA(IF(INDEX(Producer!$P:$P,MATCH($D234,Producer!$A:$A,0))="Intermediary Holiday Let","Only available","No"),"")</f>
        <v/>
      </c>
      <c r="CJ234" s="146" t="str">
        <f t="shared" si="102"/>
        <v/>
      </c>
      <c r="CK234" s="146" t="str">
        <f>_xlfn.IFNA(IF(OR(INDEX(Producer!$P:$P,MATCH($D234,Producer!$A:$A,0))="Intermediary Small HMO",INDEX(Producer!$P:$P,MATCH($D234,Producer!$A:$A,0))="Intermediary Large HMO"),"Only available","No"),"")</f>
        <v/>
      </c>
      <c r="CL234" s="146" t="str">
        <f t="shared" si="103"/>
        <v/>
      </c>
      <c r="CM234" s="146" t="str">
        <f t="shared" si="104"/>
        <v/>
      </c>
      <c r="CN234" s="146" t="str">
        <f t="shared" si="105"/>
        <v/>
      </c>
      <c r="CO234" s="146" t="str">
        <f t="shared" si="106"/>
        <v/>
      </c>
      <c r="CP234" s="146" t="str">
        <f t="shared" si="107"/>
        <v/>
      </c>
      <c r="CQ234" s="146" t="str">
        <f t="shared" si="108"/>
        <v/>
      </c>
      <c r="CR234" s="146" t="str">
        <f t="shared" si="109"/>
        <v/>
      </c>
      <c r="CS234" s="146" t="str">
        <f t="shared" si="110"/>
        <v/>
      </c>
      <c r="CT234" s="146" t="str">
        <f t="shared" si="111"/>
        <v/>
      </c>
      <c r="CU234" s="146"/>
    </row>
    <row r="235" spans="1:99" ht="16.399999999999999" customHeight="1" x14ac:dyDescent="0.35">
      <c r="A235" s="145" t="str">
        <f t="shared" si="84"/>
        <v/>
      </c>
      <c r="B235" s="145" t="str">
        <f>_xlfn.IFNA(_xlfn.CONCAT(INDEX(Producer!$P:$P,MATCH($D235,Producer!$A:$A,0))," ",IF(INDEX(Producer!$N:$N,MATCH($D235,Producer!$A:$A,0))="Yes","Green ",""),IF(AND(INDEX(Producer!$L:$L,MATCH($D235,Producer!$A:$A,0))="No",INDEX(Producer!$C:$C,MATCH($D235,Producer!$A:$A,0))="Fixed"),"Flexit ",""),INDEX(Producer!$B:$B,MATCH($D235,Producer!$A:$A,0))," Year ",INDEX(Producer!$C:$C,MATCH($D235,Producer!$A:$A,0))," ",VALUE(INDEX(Producer!$E:$E,MATCH($D235,Producer!$A:$A,0)))*100,"% LTV",IF(INDEX(Producer!$N:$N,MATCH($D235,Producer!$A:$A,0))="Yes"," (EPC A-C)","")," - ",IF(INDEX(Producer!$D:$D,MATCH($D235,Producer!$A:$A,0))="DLY","Daily","Annual")),"")</f>
        <v/>
      </c>
      <c r="C235" s="146" t="str">
        <f>_xlfn.IFNA(INDEX(Producer!$Q:$Q,MATCH($D235,Producer!$A:$A,0)),"")</f>
        <v/>
      </c>
      <c r="D235" s="146" t="str">
        <f>IFERROR(VALUE(MID(Producer!$R$2,IF($D234="",1/0,FIND(_xlfn.CONCAT($D233,$D234),Producer!$R$2)+10),5)),"")</f>
        <v/>
      </c>
      <c r="E235" s="146" t="str">
        <f t="shared" si="85"/>
        <v/>
      </c>
      <c r="F235" s="146"/>
      <c r="G235" s="147" t="str">
        <f>_xlfn.IFNA(VALUE(INDEX(Producer!$F:$F,MATCH($D235,Producer!$A:$A,0)))*100,"")</f>
        <v/>
      </c>
      <c r="H235" s="216" t="str">
        <f>_xlfn.IFNA(IFERROR(DATEVALUE(INDEX(Producer!$M:$M,MATCH($D235,Producer!$A:$A,0))),(INDEX(Producer!$M:$M,MATCH($D235,Producer!$A:$A,0)))),"")</f>
        <v/>
      </c>
      <c r="I235" s="217" t="str">
        <f>_xlfn.IFNA(VALUE(INDEX(Producer!$B:$B,MATCH($D235,Producer!$A:$A,0)))*12,"")</f>
        <v/>
      </c>
      <c r="J235" s="146" t="str">
        <f>_xlfn.IFNA(IF(C235="Residential",IF(VALUE(INDEX(Producer!$B:$B,MATCH($D235,Producer!$A:$A,0)))&lt;5,Constants!$C$10,""),IF(VALUE(INDEX(Producer!$B:$B,MATCH($D235,Producer!$A:$A,0)))&lt;5,Constants!$C$11,"")),"")</f>
        <v/>
      </c>
      <c r="K235" s="216" t="str">
        <f>_xlfn.IFNA(IF(($I235)&lt;60,DATE(YEAR(H235)+(5-VALUE(INDEX(Producer!$B:$B,MATCH($D235,Producer!$A:$A,0)))),MONTH(H235),DAY(H235)),""),"")</f>
        <v/>
      </c>
      <c r="L235" s="153" t="str">
        <f t="shared" si="86"/>
        <v/>
      </c>
      <c r="M235" s="146"/>
      <c r="N235" s="148"/>
      <c r="O235" s="148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6"/>
      <c r="AK235" s="146" t="str">
        <f>IF(D235="","",IF(C235="Residential",Constants!$B$10,Constants!$B$11))</f>
        <v/>
      </c>
      <c r="AL235" s="146" t="str">
        <f t="shared" si="87"/>
        <v/>
      </c>
      <c r="AM235" s="206" t="str">
        <f t="shared" si="88"/>
        <v/>
      </c>
      <c r="AN235" s="146" t="str">
        <f t="shared" si="89"/>
        <v/>
      </c>
      <c r="AO235" s="149" t="str">
        <f t="shared" si="90"/>
        <v/>
      </c>
      <c r="AP235" s="150" t="str">
        <f t="shared" si="91"/>
        <v/>
      </c>
      <c r="AQ235" s="146" t="str">
        <f>IFERROR(_xlfn.IFNA(IF($BA235="No",0,IF(INDEX(Constants!B:B,MATCH(($I235/12),Constants!$A:$A,0))=0,0,INDEX(Constants!B:B,MATCH(($I235/12),Constants!$A:$A,0)))),0),"")</f>
        <v/>
      </c>
      <c r="AR235" s="146" t="str">
        <f>IFERROR(_xlfn.IFNA(IF($BA235="No",0,IF(INDEX(Constants!C:C,MATCH(($I235/12),Constants!$A:$A,0))=0,0,INDEX(Constants!C:C,MATCH(($I235/12),Constants!$A:$A,0)))),0),"")</f>
        <v/>
      </c>
      <c r="AS235" s="146" t="str">
        <f>IFERROR(_xlfn.IFNA(IF($BA235="No",0,IF(INDEX(Constants!D:D,MATCH(($I235/12),Constants!$A:$A,0))=0,0,INDEX(Constants!D:D,MATCH(($I235/12),Constants!$A:$A,0)))),0),"")</f>
        <v/>
      </c>
      <c r="AT235" s="146" t="str">
        <f>IFERROR(_xlfn.IFNA(IF($BA235="No",0,IF(INDEX(Constants!E:E,MATCH(($I235/12),Constants!$A:$A,0))=0,0,INDEX(Constants!E:E,MATCH(($I235/12),Constants!$A:$A,0)))),0),"")</f>
        <v/>
      </c>
      <c r="AU235" s="146" t="str">
        <f>IFERROR(_xlfn.IFNA(IF($BA235="No",0,IF(INDEX(Constants!F:F,MATCH(($I235/12),Constants!$A:$A,0))=0,0,INDEX(Constants!F:F,MATCH(($I235/12),Constants!$A:$A,0)))),0),"")</f>
        <v/>
      </c>
      <c r="AV235" s="146" t="str">
        <f>IFERROR(_xlfn.IFNA(IF($BA235="No",0,IF(INDEX(Constants!G:G,MATCH(($I235/12),Constants!$A:$A,0))=0,0,INDEX(Constants!G:G,MATCH(($I235/12),Constants!$A:$A,0)))),0),"")</f>
        <v/>
      </c>
      <c r="AW235" s="146" t="str">
        <f>IFERROR(_xlfn.IFNA(IF($BA235="No",0,IF(INDEX(Constants!H:H,MATCH(($I235/12),Constants!$A:$A,0))=0,0,INDEX(Constants!H:H,MATCH(($I235/12),Constants!$A:$A,0)))),0),"")</f>
        <v/>
      </c>
      <c r="AX235" s="146" t="str">
        <f>IFERROR(_xlfn.IFNA(IF($BA235="No",0,IF(INDEX(Constants!I:I,MATCH(($I235/12),Constants!$A:$A,0))=0,0,INDEX(Constants!I:I,MATCH(($I235/12),Constants!$A:$A,0)))),0),"")</f>
        <v/>
      </c>
      <c r="AY235" s="146" t="str">
        <f>IFERROR(_xlfn.IFNA(IF($BA235="No",0,IF(INDEX(Constants!J:J,MATCH(($I235/12),Constants!$A:$A,0))=0,0,INDEX(Constants!J:J,MATCH(($I235/12),Constants!$A:$A,0)))),0),"")</f>
        <v/>
      </c>
      <c r="AZ235" s="146" t="str">
        <f>IFERROR(_xlfn.IFNA(IF($BA235="No",0,IF(INDEX(Constants!K:K,MATCH(($I235/12),Constants!$A:$A,0))=0,0,INDEX(Constants!K:K,MATCH(($I235/12),Constants!$A:$A,0)))),0),"")</f>
        <v/>
      </c>
      <c r="BA235" s="147" t="str">
        <f>_xlfn.IFNA(INDEX(Producer!$L:$L,MATCH($D235,Producer!$A:$A,0)),"")</f>
        <v/>
      </c>
      <c r="BB235" s="146" t="str">
        <f>IFERROR(IF(AQ235=0,"",IF(($I235/12)=15,_xlfn.CONCAT(Constants!$N$7,TEXT(DATE(YEAR(H235)-(($I235/12)-3),MONTH(H235),DAY(H235)),"dd/mm/yyyy"),", ",Constants!$P$7,TEXT(DATE(YEAR(H235)-(($I235/12)-8),MONTH(H235),DAY(H235)),"dd/mm/yyyy"),", ",Constants!$T$7,TEXT(DATE(YEAR(H235)-(($I235/12)-11),MONTH(H235),DAY(H235)),"dd/mm/yyyy"),", ",Constants!$V$7,TEXT(DATE(YEAR(H235)-(($I235/12)-13),MONTH(H235),DAY(H235)),"dd/mm/yyyy"),", ",Constants!$W$7,TEXT($H235,"dd/mm/yyyy")),IF(($I235/12)=10,_xlfn.CONCAT(Constants!$N$6,TEXT(DATE(YEAR(H235)-(($I235/12)-2),MONTH(H235),DAY(H235)),"dd/mm/yyyy"),", ",Constants!$P$6,TEXT(DATE(YEAR(H235)-(($I235/12)-6),MONTH(H235),DAY(H235)),"dd/mm/yyyy"),", ",Constants!$T$6,TEXT(DATE(YEAR(H235)-(($I235/12)-8),MONTH(H235),DAY(H235)),"dd/mm/yyyy"),", ",Constants!$V$6,TEXT(DATE(YEAR(H235)-(($I235/12)-9),MONTH(H235),DAY(H235)),"dd/mm/yyyy"),", ",Constants!$W$6,TEXT($H235,"dd/mm/yyyy")),IF(($I235/12)=5,_xlfn.CONCAT(Constants!$N$5,TEXT(DATE(YEAR(H235)-(($I235/12)-1),MONTH(H235),DAY(H235)),"dd/mm/yyyy"),", ",Constants!$O$5,TEXT(DATE(YEAR(H235)-(($I235/12)-2),MONTH(H235),DAY(H235)),"dd/mm/yyyy"),", ",Constants!$P$5,TEXT(DATE(YEAR(H235)-(($I235/12)-3),MONTH(H235),DAY(H235)),"dd/mm/yyyy"),", ",Constants!$Q$5,TEXT(DATE(YEAR(H235)-(($I235/12)-4),MONTH(H235),DAY(H235)),"dd/mm/yyyy"),", ",Constants!$R$5,TEXT($H235,"dd/mm/yyyy")),IF(($I235/12)=3,_xlfn.CONCAT(Constants!$N$4,TEXT(DATE(YEAR(H235)-(($I235/12)-1),MONTH(H235),DAY(H235)),"dd/mm/yyyy"),", ",Constants!$O$4,TEXT(DATE(YEAR(H235)-(($I235/12)-2),MONTH(H235),DAY(H235)),"dd/mm/yyyy"),", ",Constants!$P$4,TEXT($H235,"dd/mm/yyyy")),IF(($I235/12)=2,_xlfn.CONCAT(Constants!$N$3,TEXT(DATE(YEAR(H235)-(($I235/12)-1),MONTH(H235),DAY(H235)),"dd/mm/yyyy"),", ",Constants!$O$3,TEXT($H235,"dd/mm/yyyy")),IF(($I235/12)=1,_xlfn.CONCAT(Constants!$N$2,TEXT($H235,"dd/mm/yyyy")),"Update Constants"))))))),"")</f>
        <v/>
      </c>
      <c r="BC235" s="147" t="str">
        <f>_xlfn.IFNA(VALUE(INDEX(Producer!$K:$K,MATCH($D235,Producer!$A:$A,0))),"")</f>
        <v/>
      </c>
      <c r="BD235" s="147" t="str">
        <f>_xlfn.IFNA(INDEX(Producer!$I:$I,MATCH($D235,Producer!$A:$A,0)),"")</f>
        <v/>
      </c>
      <c r="BE235" s="147" t="str">
        <f t="shared" si="92"/>
        <v/>
      </c>
      <c r="BF235" s="147"/>
      <c r="BG235" s="147"/>
      <c r="BH235" s="151" t="str">
        <f>_xlfn.IFNA(INDEX(Constants!$B:$B,MATCH(BC235,Constants!A:A,0)),"")</f>
        <v/>
      </c>
      <c r="BI235" s="147" t="str">
        <f>IF(LEFT(B235,15)="Limited Company",Constants!$D$16,IFERROR(_xlfn.IFNA(IF(C235="Residential",IF(BK235&lt;75,INDEX(Constants!$B:$B,MATCH(VALUE(60)/100,Constants!$A:$A,0)),INDEX(Constants!$B:$B,MATCH(VALUE(BK235)/100,Constants!$A:$A,0))),IF(BK235&lt;60,INDEX(Constants!$C:$C,MATCH(VALUE(60)/100,Constants!$A:$A,0)),INDEX(Constants!$C:$C,MATCH(VALUE(BK235)/100,Constants!$A:$A,0)))),""),""))</f>
        <v/>
      </c>
      <c r="BJ235" s="147" t="str">
        <f t="shared" si="93"/>
        <v/>
      </c>
      <c r="BK235" s="147" t="str">
        <f>_xlfn.IFNA(VALUE(INDEX(Producer!$E:$E,MATCH($D235,Producer!$A:$A,0)))*100,"")</f>
        <v/>
      </c>
      <c r="BL235" s="146" t="str">
        <f>_xlfn.IFNA(IF(IFERROR(FIND("Part &amp; Part",B235),-10)&gt;0,"PP",IF(OR(LEFT(B235,25)="Residential Interest Only",INDEX(Producer!$P:$P,MATCH($D235,Producer!$A:$A,0))="IO",INDEX(Producer!$P:$P,MATCH($D235,Producer!$A:$A,0))="Retirement Interest Only"),"IO",IF($C235="BuyToLet","CI, IO","CI"))),"")</f>
        <v/>
      </c>
      <c r="BM235" s="152" t="str">
        <f>_xlfn.IFNA(IF(BL235="IO",100%,IF(AND(INDEX(Producer!$P:$P,MATCH($D235,Producer!$A:$A,0))="Residential Interest Only Part &amp; Part",BK235=75),80%,IF(C235="BuyToLet",100%,IF(BL235="Interest Only",100%,IF(AND(INDEX(Producer!$P:$P,MATCH($D235,Producer!$A:$A,0))="Residential Interest Only Part &amp; Part",BK235=60),100%,""))))),"")</f>
        <v/>
      </c>
      <c r="BN235" s="218" t="str">
        <f>_xlfn.IFNA(IF(VALUE(INDEX(Producer!$H:$H,MATCH($D235,Producer!$A:$A,0)))=0,"",VALUE(INDEX(Producer!$H:$H,MATCH($D235,Producer!$A:$A,0)))),"")</f>
        <v/>
      </c>
      <c r="BO235" s="153"/>
      <c r="BP235" s="153"/>
      <c r="BQ235" s="219" t="str">
        <f t="shared" si="94"/>
        <v/>
      </c>
      <c r="BR235" s="146"/>
      <c r="BS235" s="146"/>
      <c r="BT235" s="146"/>
      <c r="BU235" s="146"/>
      <c r="BV235" s="219" t="str">
        <f t="shared" si="95"/>
        <v/>
      </c>
      <c r="BW235" s="146"/>
      <c r="BX235" s="146"/>
      <c r="BY235" s="146" t="str">
        <f t="shared" si="96"/>
        <v/>
      </c>
      <c r="BZ235" s="146" t="str">
        <f t="shared" si="97"/>
        <v/>
      </c>
      <c r="CA235" s="146" t="str">
        <f t="shared" si="98"/>
        <v/>
      </c>
      <c r="CB235" s="146" t="str">
        <f t="shared" si="99"/>
        <v/>
      </c>
      <c r="CC235" s="146" t="str">
        <f>_xlfn.IFNA(IF(INDEX(Producer!$P:$P,MATCH($D235,Producer!$A:$A,0))="Help to Buy","Only available","No"),"")</f>
        <v/>
      </c>
      <c r="CD235" s="146" t="str">
        <f>_xlfn.IFNA(IF(INDEX(Producer!$P:$P,MATCH($D235,Producer!$A:$A,0))="Shared Ownership","Only available","No"),"")</f>
        <v/>
      </c>
      <c r="CE235" s="146" t="str">
        <f>_xlfn.IFNA(IF(INDEX(Producer!$P:$P,MATCH($D235,Producer!$A:$A,0))="Right to Buy","Only available","No"),"")</f>
        <v/>
      </c>
      <c r="CF235" s="146" t="str">
        <f t="shared" si="100"/>
        <v/>
      </c>
      <c r="CG235" s="146" t="str">
        <f>_xlfn.IFNA(IF(INDEX(Producer!$P:$P,MATCH($D235,Producer!$A:$A,0))="Retirement Interest Only","Only available","No"),"")</f>
        <v/>
      </c>
      <c r="CH235" s="146" t="str">
        <f t="shared" si="101"/>
        <v/>
      </c>
      <c r="CI235" s="146" t="str">
        <f>_xlfn.IFNA(IF(INDEX(Producer!$P:$P,MATCH($D235,Producer!$A:$A,0))="Intermediary Holiday Let","Only available","No"),"")</f>
        <v/>
      </c>
      <c r="CJ235" s="146" t="str">
        <f t="shared" si="102"/>
        <v/>
      </c>
      <c r="CK235" s="146" t="str">
        <f>_xlfn.IFNA(IF(OR(INDEX(Producer!$P:$P,MATCH($D235,Producer!$A:$A,0))="Intermediary Small HMO",INDEX(Producer!$P:$P,MATCH($D235,Producer!$A:$A,0))="Intermediary Large HMO"),"Only available","No"),"")</f>
        <v/>
      </c>
      <c r="CL235" s="146" t="str">
        <f t="shared" si="103"/>
        <v/>
      </c>
      <c r="CM235" s="146" t="str">
        <f t="shared" si="104"/>
        <v/>
      </c>
      <c r="CN235" s="146" t="str">
        <f t="shared" si="105"/>
        <v/>
      </c>
      <c r="CO235" s="146" t="str">
        <f t="shared" si="106"/>
        <v/>
      </c>
      <c r="CP235" s="146" t="str">
        <f t="shared" si="107"/>
        <v/>
      </c>
      <c r="CQ235" s="146" t="str">
        <f t="shared" si="108"/>
        <v/>
      </c>
      <c r="CR235" s="146" t="str">
        <f t="shared" si="109"/>
        <v/>
      </c>
      <c r="CS235" s="146" t="str">
        <f t="shared" si="110"/>
        <v/>
      </c>
      <c r="CT235" s="146" t="str">
        <f t="shared" si="111"/>
        <v/>
      </c>
      <c r="CU235" s="146"/>
    </row>
    <row r="236" spans="1:99" ht="16.399999999999999" customHeight="1" x14ac:dyDescent="0.35">
      <c r="A236" s="145" t="str">
        <f t="shared" si="84"/>
        <v/>
      </c>
      <c r="B236" s="145" t="str">
        <f>_xlfn.IFNA(_xlfn.CONCAT(INDEX(Producer!$P:$P,MATCH($D236,Producer!$A:$A,0))," ",IF(INDEX(Producer!$N:$N,MATCH($D236,Producer!$A:$A,0))="Yes","Green ",""),IF(AND(INDEX(Producer!$L:$L,MATCH($D236,Producer!$A:$A,0))="No",INDEX(Producer!$C:$C,MATCH($D236,Producer!$A:$A,0))="Fixed"),"Flexit ",""),INDEX(Producer!$B:$B,MATCH($D236,Producer!$A:$A,0))," Year ",INDEX(Producer!$C:$C,MATCH($D236,Producer!$A:$A,0))," ",VALUE(INDEX(Producer!$E:$E,MATCH($D236,Producer!$A:$A,0)))*100,"% LTV",IF(INDEX(Producer!$N:$N,MATCH($D236,Producer!$A:$A,0))="Yes"," (EPC A-C)","")," - ",IF(INDEX(Producer!$D:$D,MATCH($D236,Producer!$A:$A,0))="DLY","Daily","Annual")),"")</f>
        <v/>
      </c>
      <c r="C236" s="146" t="str">
        <f>_xlfn.IFNA(INDEX(Producer!$Q:$Q,MATCH($D236,Producer!$A:$A,0)),"")</f>
        <v/>
      </c>
      <c r="D236" s="146" t="str">
        <f>IFERROR(VALUE(MID(Producer!$R$2,IF($D235="",1/0,FIND(_xlfn.CONCAT($D234,$D235),Producer!$R$2)+10),5)),"")</f>
        <v/>
      </c>
      <c r="E236" s="146" t="str">
        <f t="shared" si="85"/>
        <v/>
      </c>
      <c r="F236" s="146"/>
      <c r="G236" s="147" t="str">
        <f>_xlfn.IFNA(VALUE(INDEX(Producer!$F:$F,MATCH($D236,Producer!$A:$A,0)))*100,"")</f>
        <v/>
      </c>
      <c r="H236" s="216" t="str">
        <f>_xlfn.IFNA(IFERROR(DATEVALUE(INDEX(Producer!$M:$M,MATCH($D236,Producer!$A:$A,0))),(INDEX(Producer!$M:$M,MATCH($D236,Producer!$A:$A,0)))),"")</f>
        <v/>
      </c>
      <c r="I236" s="217" t="str">
        <f>_xlfn.IFNA(VALUE(INDEX(Producer!$B:$B,MATCH($D236,Producer!$A:$A,0)))*12,"")</f>
        <v/>
      </c>
      <c r="J236" s="146" t="str">
        <f>_xlfn.IFNA(IF(C236="Residential",IF(VALUE(INDEX(Producer!$B:$B,MATCH($D236,Producer!$A:$A,0)))&lt;5,Constants!$C$10,""),IF(VALUE(INDEX(Producer!$B:$B,MATCH($D236,Producer!$A:$A,0)))&lt;5,Constants!$C$11,"")),"")</f>
        <v/>
      </c>
      <c r="K236" s="216" t="str">
        <f>_xlfn.IFNA(IF(($I236)&lt;60,DATE(YEAR(H236)+(5-VALUE(INDEX(Producer!$B:$B,MATCH($D236,Producer!$A:$A,0)))),MONTH(H236),DAY(H236)),""),"")</f>
        <v/>
      </c>
      <c r="L236" s="153" t="str">
        <f t="shared" si="86"/>
        <v/>
      </c>
      <c r="M236" s="146"/>
      <c r="N236" s="148"/>
      <c r="O236" s="148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6"/>
      <c r="AK236" s="146" t="str">
        <f>IF(D236="","",IF(C236="Residential",Constants!$B$10,Constants!$B$11))</f>
        <v/>
      </c>
      <c r="AL236" s="146" t="str">
        <f t="shared" si="87"/>
        <v/>
      </c>
      <c r="AM236" s="206" t="str">
        <f t="shared" si="88"/>
        <v/>
      </c>
      <c r="AN236" s="146" t="str">
        <f t="shared" si="89"/>
        <v/>
      </c>
      <c r="AO236" s="149" t="str">
        <f t="shared" si="90"/>
        <v/>
      </c>
      <c r="AP236" s="150" t="str">
        <f t="shared" si="91"/>
        <v/>
      </c>
      <c r="AQ236" s="146" t="str">
        <f>IFERROR(_xlfn.IFNA(IF($BA236="No",0,IF(INDEX(Constants!B:B,MATCH(($I236/12),Constants!$A:$A,0))=0,0,INDEX(Constants!B:B,MATCH(($I236/12),Constants!$A:$A,0)))),0),"")</f>
        <v/>
      </c>
      <c r="AR236" s="146" t="str">
        <f>IFERROR(_xlfn.IFNA(IF($BA236="No",0,IF(INDEX(Constants!C:C,MATCH(($I236/12),Constants!$A:$A,0))=0,0,INDEX(Constants!C:C,MATCH(($I236/12),Constants!$A:$A,0)))),0),"")</f>
        <v/>
      </c>
      <c r="AS236" s="146" t="str">
        <f>IFERROR(_xlfn.IFNA(IF($BA236="No",0,IF(INDEX(Constants!D:D,MATCH(($I236/12),Constants!$A:$A,0))=0,0,INDEX(Constants!D:D,MATCH(($I236/12),Constants!$A:$A,0)))),0),"")</f>
        <v/>
      </c>
      <c r="AT236" s="146" t="str">
        <f>IFERROR(_xlfn.IFNA(IF($BA236="No",0,IF(INDEX(Constants!E:E,MATCH(($I236/12),Constants!$A:$A,0))=0,0,INDEX(Constants!E:E,MATCH(($I236/12),Constants!$A:$A,0)))),0),"")</f>
        <v/>
      </c>
      <c r="AU236" s="146" t="str">
        <f>IFERROR(_xlfn.IFNA(IF($BA236="No",0,IF(INDEX(Constants!F:F,MATCH(($I236/12),Constants!$A:$A,0))=0,0,INDEX(Constants!F:F,MATCH(($I236/12),Constants!$A:$A,0)))),0),"")</f>
        <v/>
      </c>
      <c r="AV236" s="146" t="str">
        <f>IFERROR(_xlfn.IFNA(IF($BA236="No",0,IF(INDEX(Constants!G:G,MATCH(($I236/12),Constants!$A:$A,0))=0,0,INDEX(Constants!G:G,MATCH(($I236/12),Constants!$A:$A,0)))),0),"")</f>
        <v/>
      </c>
      <c r="AW236" s="146" t="str">
        <f>IFERROR(_xlfn.IFNA(IF($BA236="No",0,IF(INDEX(Constants!H:H,MATCH(($I236/12),Constants!$A:$A,0))=0,0,INDEX(Constants!H:H,MATCH(($I236/12),Constants!$A:$A,0)))),0),"")</f>
        <v/>
      </c>
      <c r="AX236" s="146" t="str">
        <f>IFERROR(_xlfn.IFNA(IF($BA236="No",0,IF(INDEX(Constants!I:I,MATCH(($I236/12),Constants!$A:$A,0))=0,0,INDEX(Constants!I:I,MATCH(($I236/12),Constants!$A:$A,0)))),0),"")</f>
        <v/>
      </c>
      <c r="AY236" s="146" t="str">
        <f>IFERROR(_xlfn.IFNA(IF($BA236="No",0,IF(INDEX(Constants!J:J,MATCH(($I236/12),Constants!$A:$A,0))=0,0,INDEX(Constants!J:J,MATCH(($I236/12),Constants!$A:$A,0)))),0),"")</f>
        <v/>
      </c>
      <c r="AZ236" s="146" t="str">
        <f>IFERROR(_xlfn.IFNA(IF($BA236="No",0,IF(INDEX(Constants!K:K,MATCH(($I236/12),Constants!$A:$A,0))=0,0,INDEX(Constants!K:K,MATCH(($I236/12),Constants!$A:$A,0)))),0),"")</f>
        <v/>
      </c>
      <c r="BA236" s="147" t="str">
        <f>_xlfn.IFNA(INDEX(Producer!$L:$L,MATCH($D236,Producer!$A:$A,0)),"")</f>
        <v/>
      </c>
      <c r="BB236" s="146" t="str">
        <f>IFERROR(IF(AQ236=0,"",IF(($I236/12)=15,_xlfn.CONCAT(Constants!$N$7,TEXT(DATE(YEAR(H236)-(($I236/12)-3),MONTH(H236),DAY(H236)),"dd/mm/yyyy"),", ",Constants!$P$7,TEXT(DATE(YEAR(H236)-(($I236/12)-8),MONTH(H236),DAY(H236)),"dd/mm/yyyy"),", ",Constants!$T$7,TEXT(DATE(YEAR(H236)-(($I236/12)-11),MONTH(H236),DAY(H236)),"dd/mm/yyyy"),", ",Constants!$V$7,TEXT(DATE(YEAR(H236)-(($I236/12)-13),MONTH(H236),DAY(H236)),"dd/mm/yyyy"),", ",Constants!$W$7,TEXT($H236,"dd/mm/yyyy")),IF(($I236/12)=10,_xlfn.CONCAT(Constants!$N$6,TEXT(DATE(YEAR(H236)-(($I236/12)-2),MONTH(H236),DAY(H236)),"dd/mm/yyyy"),", ",Constants!$P$6,TEXT(DATE(YEAR(H236)-(($I236/12)-6),MONTH(H236),DAY(H236)),"dd/mm/yyyy"),", ",Constants!$T$6,TEXT(DATE(YEAR(H236)-(($I236/12)-8),MONTH(H236),DAY(H236)),"dd/mm/yyyy"),", ",Constants!$V$6,TEXT(DATE(YEAR(H236)-(($I236/12)-9),MONTH(H236),DAY(H236)),"dd/mm/yyyy"),", ",Constants!$W$6,TEXT($H236,"dd/mm/yyyy")),IF(($I236/12)=5,_xlfn.CONCAT(Constants!$N$5,TEXT(DATE(YEAR(H236)-(($I236/12)-1),MONTH(H236),DAY(H236)),"dd/mm/yyyy"),", ",Constants!$O$5,TEXT(DATE(YEAR(H236)-(($I236/12)-2),MONTH(H236),DAY(H236)),"dd/mm/yyyy"),", ",Constants!$P$5,TEXT(DATE(YEAR(H236)-(($I236/12)-3),MONTH(H236),DAY(H236)),"dd/mm/yyyy"),", ",Constants!$Q$5,TEXT(DATE(YEAR(H236)-(($I236/12)-4),MONTH(H236),DAY(H236)),"dd/mm/yyyy"),", ",Constants!$R$5,TEXT($H236,"dd/mm/yyyy")),IF(($I236/12)=3,_xlfn.CONCAT(Constants!$N$4,TEXT(DATE(YEAR(H236)-(($I236/12)-1),MONTH(H236),DAY(H236)),"dd/mm/yyyy"),", ",Constants!$O$4,TEXT(DATE(YEAR(H236)-(($I236/12)-2),MONTH(H236),DAY(H236)),"dd/mm/yyyy"),", ",Constants!$P$4,TEXT($H236,"dd/mm/yyyy")),IF(($I236/12)=2,_xlfn.CONCAT(Constants!$N$3,TEXT(DATE(YEAR(H236)-(($I236/12)-1),MONTH(H236),DAY(H236)),"dd/mm/yyyy"),", ",Constants!$O$3,TEXT($H236,"dd/mm/yyyy")),IF(($I236/12)=1,_xlfn.CONCAT(Constants!$N$2,TEXT($H236,"dd/mm/yyyy")),"Update Constants"))))))),"")</f>
        <v/>
      </c>
      <c r="BC236" s="147" t="str">
        <f>_xlfn.IFNA(VALUE(INDEX(Producer!$K:$K,MATCH($D236,Producer!$A:$A,0))),"")</f>
        <v/>
      </c>
      <c r="BD236" s="147" t="str">
        <f>_xlfn.IFNA(INDEX(Producer!$I:$I,MATCH($D236,Producer!$A:$A,0)),"")</f>
        <v/>
      </c>
      <c r="BE236" s="147" t="str">
        <f t="shared" si="92"/>
        <v/>
      </c>
      <c r="BF236" s="147"/>
      <c r="BG236" s="147"/>
      <c r="BH236" s="151" t="str">
        <f>_xlfn.IFNA(INDEX(Constants!$B:$B,MATCH(BC236,Constants!A:A,0)),"")</f>
        <v/>
      </c>
      <c r="BI236" s="147" t="str">
        <f>IF(LEFT(B236,15)="Limited Company",Constants!$D$16,IFERROR(_xlfn.IFNA(IF(C236="Residential",IF(BK236&lt;75,INDEX(Constants!$B:$B,MATCH(VALUE(60)/100,Constants!$A:$A,0)),INDEX(Constants!$B:$B,MATCH(VALUE(BK236)/100,Constants!$A:$A,0))),IF(BK236&lt;60,INDEX(Constants!$C:$C,MATCH(VALUE(60)/100,Constants!$A:$A,0)),INDEX(Constants!$C:$C,MATCH(VALUE(BK236)/100,Constants!$A:$A,0)))),""),""))</f>
        <v/>
      </c>
      <c r="BJ236" s="147" t="str">
        <f t="shared" si="93"/>
        <v/>
      </c>
      <c r="BK236" s="147" t="str">
        <f>_xlfn.IFNA(VALUE(INDEX(Producer!$E:$E,MATCH($D236,Producer!$A:$A,0)))*100,"")</f>
        <v/>
      </c>
      <c r="BL236" s="146" t="str">
        <f>_xlfn.IFNA(IF(IFERROR(FIND("Part &amp; Part",B236),-10)&gt;0,"PP",IF(OR(LEFT(B236,25)="Residential Interest Only",INDEX(Producer!$P:$P,MATCH($D236,Producer!$A:$A,0))="IO",INDEX(Producer!$P:$P,MATCH($D236,Producer!$A:$A,0))="Retirement Interest Only"),"IO",IF($C236="BuyToLet","CI, IO","CI"))),"")</f>
        <v/>
      </c>
      <c r="BM236" s="152" t="str">
        <f>_xlfn.IFNA(IF(BL236="IO",100%,IF(AND(INDEX(Producer!$P:$P,MATCH($D236,Producer!$A:$A,0))="Residential Interest Only Part &amp; Part",BK236=75),80%,IF(C236="BuyToLet",100%,IF(BL236="Interest Only",100%,IF(AND(INDEX(Producer!$P:$P,MATCH($D236,Producer!$A:$A,0))="Residential Interest Only Part &amp; Part",BK236=60),100%,""))))),"")</f>
        <v/>
      </c>
      <c r="BN236" s="218" t="str">
        <f>_xlfn.IFNA(IF(VALUE(INDEX(Producer!$H:$H,MATCH($D236,Producer!$A:$A,0)))=0,"",VALUE(INDEX(Producer!$H:$H,MATCH($D236,Producer!$A:$A,0)))),"")</f>
        <v/>
      </c>
      <c r="BO236" s="153"/>
      <c r="BP236" s="153"/>
      <c r="BQ236" s="219" t="str">
        <f t="shared" si="94"/>
        <v/>
      </c>
      <c r="BR236" s="146"/>
      <c r="BS236" s="146"/>
      <c r="BT236" s="146"/>
      <c r="BU236" s="146"/>
      <c r="BV236" s="219" t="str">
        <f t="shared" si="95"/>
        <v/>
      </c>
      <c r="BW236" s="146"/>
      <c r="BX236" s="146"/>
      <c r="BY236" s="146" t="str">
        <f t="shared" si="96"/>
        <v/>
      </c>
      <c r="BZ236" s="146" t="str">
        <f t="shared" si="97"/>
        <v/>
      </c>
      <c r="CA236" s="146" t="str">
        <f t="shared" si="98"/>
        <v/>
      </c>
      <c r="CB236" s="146" t="str">
        <f t="shared" si="99"/>
        <v/>
      </c>
      <c r="CC236" s="146" t="str">
        <f>_xlfn.IFNA(IF(INDEX(Producer!$P:$P,MATCH($D236,Producer!$A:$A,0))="Help to Buy","Only available","No"),"")</f>
        <v/>
      </c>
      <c r="CD236" s="146" t="str">
        <f>_xlfn.IFNA(IF(INDEX(Producer!$P:$P,MATCH($D236,Producer!$A:$A,0))="Shared Ownership","Only available","No"),"")</f>
        <v/>
      </c>
      <c r="CE236" s="146" t="str">
        <f>_xlfn.IFNA(IF(INDEX(Producer!$P:$P,MATCH($D236,Producer!$A:$A,0))="Right to Buy","Only available","No"),"")</f>
        <v/>
      </c>
      <c r="CF236" s="146" t="str">
        <f t="shared" si="100"/>
        <v/>
      </c>
      <c r="CG236" s="146" t="str">
        <f>_xlfn.IFNA(IF(INDEX(Producer!$P:$P,MATCH($D236,Producer!$A:$A,0))="Retirement Interest Only","Only available","No"),"")</f>
        <v/>
      </c>
      <c r="CH236" s="146" t="str">
        <f t="shared" si="101"/>
        <v/>
      </c>
      <c r="CI236" s="146" t="str">
        <f>_xlfn.IFNA(IF(INDEX(Producer!$P:$P,MATCH($D236,Producer!$A:$A,0))="Intermediary Holiday Let","Only available","No"),"")</f>
        <v/>
      </c>
      <c r="CJ236" s="146" t="str">
        <f t="shared" si="102"/>
        <v/>
      </c>
      <c r="CK236" s="146" t="str">
        <f>_xlfn.IFNA(IF(OR(INDEX(Producer!$P:$P,MATCH($D236,Producer!$A:$A,0))="Intermediary Small HMO",INDEX(Producer!$P:$P,MATCH($D236,Producer!$A:$A,0))="Intermediary Large HMO"),"Only available","No"),"")</f>
        <v/>
      </c>
      <c r="CL236" s="146" t="str">
        <f t="shared" si="103"/>
        <v/>
      </c>
      <c r="CM236" s="146" t="str">
        <f t="shared" si="104"/>
        <v/>
      </c>
      <c r="CN236" s="146" t="str">
        <f t="shared" si="105"/>
        <v/>
      </c>
      <c r="CO236" s="146" t="str">
        <f t="shared" si="106"/>
        <v/>
      </c>
      <c r="CP236" s="146" t="str">
        <f t="shared" si="107"/>
        <v/>
      </c>
      <c r="CQ236" s="146" t="str">
        <f t="shared" si="108"/>
        <v/>
      </c>
      <c r="CR236" s="146" t="str">
        <f t="shared" si="109"/>
        <v/>
      </c>
      <c r="CS236" s="146" t="str">
        <f t="shared" si="110"/>
        <v/>
      </c>
      <c r="CT236" s="146" t="str">
        <f t="shared" si="111"/>
        <v/>
      </c>
      <c r="CU236" s="146"/>
    </row>
    <row r="237" spans="1:99" ht="16.399999999999999" customHeight="1" x14ac:dyDescent="0.35">
      <c r="A237" s="145" t="str">
        <f t="shared" si="84"/>
        <v/>
      </c>
      <c r="B237" s="145" t="str">
        <f>_xlfn.IFNA(_xlfn.CONCAT(INDEX(Producer!$P:$P,MATCH($D237,Producer!$A:$A,0))," ",IF(INDEX(Producer!$N:$N,MATCH($D237,Producer!$A:$A,0))="Yes","Green ",""),IF(AND(INDEX(Producer!$L:$L,MATCH($D237,Producer!$A:$A,0))="No",INDEX(Producer!$C:$C,MATCH($D237,Producer!$A:$A,0))="Fixed"),"Flexit ",""),INDEX(Producer!$B:$B,MATCH($D237,Producer!$A:$A,0))," Year ",INDEX(Producer!$C:$C,MATCH($D237,Producer!$A:$A,0))," ",VALUE(INDEX(Producer!$E:$E,MATCH($D237,Producer!$A:$A,0)))*100,"% LTV",IF(INDEX(Producer!$N:$N,MATCH($D237,Producer!$A:$A,0))="Yes"," (EPC A-C)","")," - ",IF(INDEX(Producer!$D:$D,MATCH($D237,Producer!$A:$A,0))="DLY","Daily","Annual")),"")</f>
        <v/>
      </c>
      <c r="C237" s="146" t="str">
        <f>_xlfn.IFNA(INDEX(Producer!$Q:$Q,MATCH($D237,Producer!$A:$A,0)),"")</f>
        <v/>
      </c>
      <c r="D237" s="146" t="str">
        <f>IFERROR(VALUE(MID(Producer!$R$2,IF($D236="",1/0,FIND(_xlfn.CONCAT($D235,$D236),Producer!$R$2)+10),5)),"")</f>
        <v/>
      </c>
      <c r="E237" s="146" t="str">
        <f t="shared" si="85"/>
        <v/>
      </c>
      <c r="F237" s="146"/>
      <c r="G237" s="147" t="str">
        <f>_xlfn.IFNA(VALUE(INDEX(Producer!$F:$F,MATCH($D237,Producer!$A:$A,0)))*100,"")</f>
        <v/>
      </c>
      <c r="H237" s="216" t="str">
        <f>_xlfn.IFNA(IFERROR(DATEVALUE(INDEX(Producer!$M:$M,MATCH($D237,Producer!$A:$A,0))),(INDEX(Producer!$M:$M,MATCH($D237,Producer!$A:$A,0)))),"")</f>
        <v/>
      </c>
      <c r="I237" s="217" t="str">
        <f>_xlfn.IFNA(VALUE(INDEX(Producer!$B:$B,MATCH($D237,Producer!$A:$A,0)))*12,"")</f>
        <v/>
      </c>
      <c r="J237" s="146" t="str">
        <f>_xlfn.IFNA(IF(C237="Residential",IF(VALUE(INDEX(Producer!$B:$B,MATCH($D237,Producer!$A:$A,0)))&lt;5,Constants!$C$10,""),IF(VALUE(INDEX(Producer!$B:$B,MATCH($D237,Producer!$A:$A,0)))&lt;5,Constants!$C$11,"")),"")</f>
        <v/>
      </c>
      <c r="K237" s="216" t="str">
        <f>_xlfn.IFNA(IF(($I237)&lt;60,DATE(YEAR(H237)+(5-VALUE(INDEX(Producer!$B:$B,MATCH($D237,Producer!$A:$A,0)))),MONTH(H237),DAY(H237)),""),"")</f>
        <v/>
      </c>
      <c r="L237" s="153" t="str">
        <f t="shared" si="86"/>
        <v/>
      </c>
      <c r="M237" s="146"/>
      <c r="N237" s="148"/>
      <c r="O237" s="148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6"/>
      <c r="AK237" s="146" t="str">
        <f>IF(D237="","",IF(C237="Residential",Constants!$B$10,Constants!$B$11))</f>
        <v/>
      </c>
      <c r="AL237" s="146" t="str">
        <f t="shared" si="87"/>
        <v/>
      </c>
      <c r="AM237" s="206" t="str">
        <f t="shared" si="88"/>
        <v/>
      </c>
      <c r="AN237" s="146" t="str">
        <f t="shared" si="89"/>
        <v/>
      </c>
      <c r="AO237" s="149" t="str">
        <f t="shared" si="90"/>
        <v/>
      </c>
      <c r="AP237" s="150" t="str">
        <f t="shared" si="91"/>
        <v/>
      </c>
      <c r="AQ237" s="146" t="str">
        <f>IFERROR(_xlfn.IFNA(IF($BA237="No",0,IF(INDEX(Constants!B:B,MATCH(($I237/12),Constants!$A:$A,0))=0,0,INDEX(Constants!B:B,MATCH(($I237/12),Constants!$A:$A,0)))),0),"")</f>
        <v/>
      </c>
      <c r="AR237" s="146" t="str">
        <f>IFERROR(_xlfn.IFNA(IF($BA237="No",0,IF(INDEX(Constants!C:C,MATCH(($I237/12),Constants!$A:$A,0))=0,0,INDEX(Constants!C:C,MATCH(($I237/12),Constants!$A:$A,0)))),0),"")</f>
        <v/>
      </c>
      <c r="AS237" s="146" t="str">
        <f>IFERROR(_xlfn.IFNA(IF($BA237="No",0,IF(INDEX(Constants!D:D,MATCH(($I237/12),Constants!$A:$A,0))=0,0,INDEX(Constants!D:D,MATCH(($I237/12),Constants!$A:$A,0)))),0),"")</f>
        <v/>
      </c>
      <c r="AT237" s="146" t="str">
        <f>IFERROR(_xlfn.IFNA(IF($BA237="No",0,IF(INDEX(Constants!E:E,MATCH(($I237/12),Constants!$A:$A,0))=0,0,INDEX(Constants!E:E,MATCH(($I237/12),Constants!$A:$A,0)))),0),"")</f>
        <v/>
      </c>
      <c r="AU237" s="146" t="str">
        <f>IFERROR(_xlfn.IFNA(IF($BA237="No",0,IF(INDEX(Constants!F:F,MATCH(($I237/12),Constants!$A:$A,0))=0,0,INDEX(Constants!F:F,MATCH(($I237/12),Constants!$A:$A,0)))),0),"")</f>
        <v/>
      </c>
      <c r="AV237" s="146" t="str">
        <f>IFERROR(_xlfn.IFNA(IF($BA237="No",0,IF(INDEX(Constants!G:G,MATCH(($I237/12),Constants!$A:$A,0))=0,0,INDEX(Constants!G:G,MATCH(($I237/12),Constants!$A:$A,0)))),0),"")</f>
        <v/>
      </c>
      <c r="AW237" s="146" t="str">
        <f>IFERROR(_xlfn.IFNA(IF($BA237="No",0,IF(INDEX(Constants!H:H,MATCH(($I237/12),Constants!$A:$A,0))=0,0,INDEX(Constants!H:H,MATCH(($I237/12),Constants!$A:$A,0)))),0),"")</f>
        <v/>
      </c>
      <c r="AX237" s="146" t="str">
        <f>IFERROR(_xlfn.IFNA(IF($BA237="No",0,IF(INDEX(Constants!I:I,MATCH(($I237/12),Constants!$A:$A,0))=0,0,INDEX(Constants!I:I,MATCH(($I237/12),Constants!$A:$A,0)))),0),"")</f>
        <v/>
      </c>
      <c r="AY237" s="146" t="str">
        <f>IFERROR(_xlfn.IFNA(IF($BA237="No",0,IF(INDEX(Constants!J:J,MATCH(($I237/12),Constants!$A:$A,0))=0,0,INDEX(Constants!J:J,MATCH(($I237/12),Constants!$A:$A,0)))),0),"")</f>
        <v/>
      </c>
      <c r="AZ237" s="146" t="str">
        <f>IFERROR(_xlfn.IFNA(IF($BA237="No",0,IF(INDEX(Constants!K:K,MATCH(($I237/12),Constants!$A:$A,0))=0,0,INDEX(Constants!K:K,MATCH(($I237/12),Constants!$A:$A,0)))),0),"")</f>
        <v/>
      </c>
      <c r="BA237" s="147" t="str">
        <f>_xlfn.IFNA(INDEX(Producer!$L:$L,MATCH($D237,Producer!$A:$A,0)),"")</f>
        <v/>
      </c>
      <c r="BB237" s="146" t="str">
        <f>IFERROR(IF(AQ237=0,"",IF(($I237/12)=15,_xlfn.CONCAT(Constants!$N$7,TEXT(DATE(YEAR(H237)-(($I237/12)-3),MONTH(H237),DAY(H237)),"dd/mm/yyyy"),", ",Constants!$P$7,TEXT(DATE(YEAR(H237)-(($I237/12)-8),MONTH(H237),DAY(H237)),"dd/mm/yyyy"),", ",Constants!$T$7,TEXT(DATE(YEAR(H237)-(($I237/12)-11),MONTH(H237),DAY(H237)),"dd/mm/yyyy"),", ",Constants!$V$7,TEXT(DATE(YEAR(H237)-(($I237/12)-13),MONTH(H237),DAY(H237)),"dd/mm/yyyy"),", ",Constants!$W$7,TEXT($H237,"dd/mm/yyyy")),IF(($I237/12)=10,_xlfn.CONCAT(Constants!$N$6,TEXT(DATE(YEAR(H237)-(($I237/12)-2),MONTH(H237),DAY(H237)),"dd/mm/yyyy"),", ",Constants!$P$6,TEXT(DATE(YEAR(H237)-(($I237/12)-6),MONTH(H237),DAY(H237)),"dd/mm/yyyy"),", ",Constants!$T$6,TEXT(DATE(YEAR(H237)-(($I237/12)-8),MONTH(H237),DAY(H237)),"dd/mm/yyyy"),", ",Constants!$V$6,TEXT(DATE(YEAR(H237)-(($I237/12)-9),MONTH(H237),DAY(H237)),"dd/mm/yyyy"),", ",Constants!$W$6,TEXT($H237,"dd/mm/yyyy")),IF(($I237/12)=5,_xlfn.CONCAT(Constants!$N$5,TEXT(DATE(YEAR(H237)-(($I237/12)-1),MONTH(H237),DAY(H237)),"dd/mm/yyyy"),", ",Constants!$O$5,TEXT(DATE(YEAR(H237)-(($I237/12)-2),MONTH(H237),DAY(H237)),"dd/mm/yyyy"),", ",Constants!$P$5,TEXT(DATE(YEAR(H237)-(($I237/12)-3),MONTH(H237),DAY(H237)),"dd/mm/yyyy"),", ",Constants!$Q$5,TEXT(DATE(YEAR(H237)-(($I237/12)-4),MONTH(H237),DAY(H237)),"dd/mm/yyyy"),", ",Constants!$R$5,TEXT($H237,"dd/mm/yyyy")),IF(($I237/12)=3,_xlfn.CONCAT(Constants!$N$4,TEXT(DATE(YEAR(H237)-(($I237/12)-1),MONTH(H237),DAY(H237)),"dd/mm/yyyy"),", ",Constants!$O$4,TEXT(DATE(YEAR(H237)-(($I237/12)-2),MONTH(H237),DAY(H237)),"dd/mm/yyyy"),", ",Constants!$P$4,TEXT($H237,"dd/mm/yyyy")),IF(($I237/12)=2,_xlfn.CONCAT(Constants!$N$3,TEXT(DATE(YEAR(H237)-(($I237/12)-1),MONTH(H237),DAY(H237)),"dd/mm/yyyy"),", ",Constants!$O$3,TEXT($H237,"dd/mm/yyyy")),IF(($I237/12)=1,_xlfn.CONCAT(Constants!$N$2,TEXT($H237,"dd/mm/yyyy")),"Update Constants"))))))),"")</f>
        <v/>
      </c>
      <c r="BC237" s="147" t="str">
        <f>_xlfn.IFNA(VALUE(INDEX(Producer!$K:$K,MATCH($D237,Producer!$A:$A,0))),"")</f>
        <v/>
      </c>
      <c r="BD237" s="147" t="str">
        <f>_xlfn.IFNA(INDEX(Producer!$I:$I,MATCH($D237,Producer!$A:$A,0)),"")</f>
        <v/>
      </c>
      <c r="BE237" s="147" t="str">
        <f t="shared" si="92"/>
        <v/>
      </c>
      <c r="BF237" s="147"/>
      <c r="BG237" s="147"/>
      <c r="BH237" s="151" t="str">
        <f>_xlfn.IFNA(INDEX(Constants!$B:$B,MATCH(BC237,Constants!A:A,0)),"")</f>
        <v/>
      </c>
      <c r="BI237" s="147" t="str">
        <f>IF(LEFT(B237,15)="Limited Company",Constants!$D$16,IFERROR(_xlfn.IFNA(IF(C237="Residential",IF(BK237&lt;75,INDEX(Constants!$B:$B,MATCH(VALUE(60)/100,Constants!$A:$A,0)),INDEX(Constants!$B:$B,MATCH(VALUE(BK237)/100,Constants!$A:$A,0))),IF(BK237&lt;60,INDEX(Constants!$C:$C,MATCH(VALUE(60)/100,Constants!$A:$A,0)),INDEX(Constants!$C:$C,MATCH(VALUE(BK237)/100,Constants!$A:$A,0)))),""),""))</f>
        <v/>
      </c>
      <c r="BJ237" s="147" t="str">
        <f t="shared" si="93"/>
        <v/>
      </c>
      <c r="BK237" s="147" t="str">
        <f>_xlfn.IFNA(VALUE(INDEX(Producer!$E:$E,MATCH($D237,Producer!$A:$A,0)))*100,"")</f>
        <v/>
      </c>
      <c r="BL237" s="146" t="str">
        <f>_xlfn.IFNA(IF(IFERROR(FIND("Part &amp; Part",B237),-10)&gt;0,"PP",IF(OR(LEFT(B237,25)="Residential Interest Only",INDEX(Producer!$P:$P,MATCH($D237,Producer!$A:$A,0))="IO",INDEX(Producer!$P:$P,MATCH($D237,Producer!$A:$A,0))="Retirement Interest Only"),"IO",IF($C237="BuyToLet","CI, IO","CI"))),"")</f>
        <v/>
      </c>
      <c r="BM237" s="152" t="str">
        <f>_xlfn.IFNA(IF(BL237="IO",100%,IF(AND(INDEX(Producer!$P:$P,MATCH($D237,Producer!$A:$A,0))="Residential Interest Only Part &amp; Part",BK237=75),80%,IF(C237="BuyToLet",100%,IF(BL237="Interest Only",100%,IF(AND(INDEX(Producer!$P:$P,MATCH($D237,Producer!$A:$A,0))="Residential Interest Only Part &amp; Part",BK237=60),100%,""))))),"")</f>
        <v/>
      </c>
      <c r="BN237" s="218" t="str">
        <f>_xlfn.IFNA(IF(VALUE(INDEX(Producer!$H:$H,MATCH($D237,Producer!$A:$A,0)))=0,"",VALUE(INDEX(Producer!$H:$H,MATCH($D237,Producer!$A:$A,0)))),"")</f>
        <v/>
      </c>
      <c r="BO237" s="153"/>
      <c r="BP237" s="153"/>
      <c r="BQ237" s="219" t="str">
        <f t="shared" si="94"/>
        <v/>
      </c>
      <c r="BR237" s="146"/>
      <c r="BS237" s="146"/>
      <c r="BT237" s="146"/>
      <c r="BU237" s="146"/>
      <c r="BV237" s="219" t="str">
        <f t="shared" si="95"/>
        <v/>
      </c>
      <c r="BW237" s="146"/>
      <c r="BX237" s="146"/>
      <c r="BY237" s="146" t="str">
        <f t="shared" si="96"/>
        <v/>
      </c>
      <c r="BZ237" s="146" t="str">
        <f t="shared" si="97"/>
        <v/>
      </c>
      <c r="CA237" s="146" t="str">
        <f t="shared" si="98"/>
        <v/>
      </c>
      <c r="CB237" s="146" t="str">
        <f t="shared" si="99"/>
        <v/>
      </c>
      <c r="CC237" s="146" t="str">
        <f>_xlfn.IFNA(IF(INDEX(Producer!$P:$P,MATCH($D237,Producer!$A:$A,0))="Help to Buy","Only available","No"),"")</f>
        <v/>
      </c>
      <c r="CD237" s="146" t="str">
        <f>_xlfn.IFNA(IF(INDEX(Producer!$P:$P,MATCH($D237,Producer!$A:$A,0))="Shared Ownership","Only available","No"),"")</f>
        <v/>
      </c>
      <c r="CE237" s="146" t="str">
        <f>_xlfn.IFNA(IF(INDEX(Producer!$P:$P,MATCH($D237,Producer!$A:$A,0))="Right to Buy","Only available","No"),"")</f>
        <v/>
      </c>
      <c r="CF237" s="146" t="str">
        <f t="shared" si="100"/>
        <v/>
      </c>
      <c r="CG237" s="146" t="str">
        <f>_xlfn.IFNA(IF(INDEX(Producer!$P:$P,MATCH($D237,Producer!$A:$A,0))="Retirement Interest Only","Only available","No"),"")</f>
        <v/>
      </c>
      <c r="CH237" s="146" t="str">
        <f t="shared" si="101"/>
        <v/>
      </c>
      <c r="CI237" s="146" t="str">
        <f>_xlfn.IFNA(IF(INDEX(Producer!$P:$P,MATCH($D237,Producer!$A:$A,0))="Intermediary Holiday Let","Only available","No"),"")</f>
        <v/>
      </c>
      <c r="CJ237" s="146" t="str">
        <f t="shared" si="102"/>
        <v/>
      </c>
      <c r="CK237" s="146" t="str">
        <f>_xlfn.IFNA(IF(OR(INDEX(Producer!$P:$P,MATCH($D237,Producer!$A:$A,0))="Intermediary Small HMO",INDEX(Producer!$P:$P,MATCH($D237,Producer!$A:$A,0))="Intermediary Large HMO"),"Only available","No"),"")</f>
        <v/>
      </c>
      <c r="CL237" s="146" t="str">
        <f t="shared" si="103"/>
        <v/>
      </c>
      <c r="CM237" s="146" t="str">
        <f t="shared" si="104"/>
        <v/>
      </c>
      <c r="CN237" s="146" t="str">
        <f t="shared" si="105"/>
        <v/>
      </c>
      <c r="CO237" s="146" t="str">
        <f t="shared" si="106"/>
        <v/>
      </c>
      <c r="CP237" s="146" t="str">
        <f t="shared" si="107"/>
        <v/>
      </c>
      <c r="CQ237" s="146" t="str">
        <f t="shared" si="108"/>
        <v/>
      </c>
      <c r="CR237" s="146" t="str">
        <f t="shared" si="109"/>
        <v/>
      </c>
      <c r="CS237" s="146" t="str">
        <f t="shared" si="110"/>
        <v/>
      </c>
      <c r="CT237" s="146" t="str">
        <f t="shared" si="111"/>
        <v/>
      </c>
      <c r="CU237" s="146"/>
    </row>
    <row r="238" spans="1:99" ht="16.399999999999999" customHeight="1" x14ac:dyDescent="0.35">
      <c r="A238" s="145" t="str">
        <f t="shared" si="84"/>
        <v/>
      </c>
      <c r="B238" s="145" t="str">
        <f>_xlfn.IFNA(_xlfn.CONCAT(INDEX(Producer!$P:$P,MATCH($D238,Producer!$A:$A,0))," ",IF(INDEX(Producer!$N:$N,MATCH($D238,Producer!$A:$A,0))="Yes","Green ",""),IF(AND(INDEX(Producer!$L:$L,MATCH($D238,Producer!$A:$A,0))="No",INDEX(Producer!$C:$C,MATCH($D238,Producer!$A:$A,0))="Fixed"),"Flexit ",""),INDEX(Producer!$B:$B,MATCH($D238,Producer!$A:$A,0))," Year ",INDEX(Producer!$C:$C,MATCH($D238,Producer!$A:$A,0))," ",VALUE(INDEX(Producer!$E:$E,MATCH($D238,Producer!$A:$A,0)))*100,"% LTV",IF(INDEX(Producer!$N:$N,MATCH($D238,Producer!$A:$A,0))="Yes"," (EPC A-C)","")," - ",IF(INDEX(Producer!$D:$D,MATCH($D238,Producer!$A:$A,0))="DLY","Daily","Annual")),"")</f>
        <v/>
      </c>
      <c r="C238" s="146" t="str">
        <f>_xlfn.IFNA(INDEX(Producer!$Q:$Q,MATCH($D238,Producer!$A:$A,0)),"")</f>
        <v/>
      </c>
      <c r="D238" s="146" t="str">
        <f>IFERROR(VALUE(MID(Producer!$R$2,IF($D237="",1/0,FIND(_xlfn.CONCAT($D236,$D237),Producer!$R$2)+10),5)),"")</f>
        <v/>
      </c>
      <c r="E238" s="146" t="str">
        <f t="shared" si="85"/>
        <v/>
      </c>
      <c r="F238" s="146"/>
      <c r="G238" s="147" t="str">
        <f>_xlfn.IFNA(VALUE(INDEX(Producer!$F:$F,MATCH($D238,Producer!$A:$A,0)))*100,"")</f>
        <v/>
      </c>
      <c r="H238" s="216" t="str">
        <f>_xlfn.IFNA(IFERROR(DATEVALUE(INDEX(Producer!$M:$M,MATCH($D238,Producer!$A:$A,0))),(INDEX(Producer!$M:$M,MATCH($D238,Producer!$A:$A,0)))),"")</f>
        <v/>
      </c>
      <c r="I238" s="217" t="str">
        <f>_xlfn.IFNA(VALUE(INDEX(Producer!$B:$B,MATCH($D238,Producer!$A:$A,0)))*12,"")</f>
        <v/>
      </c>
      <c r="J238" s="146" t="str">
        <f>_xlfn.IFNA(IF(C238="Residential",IF(VALUE(INDEX(Producer!$B:$B,MATCH($D238,Producer!$A:$A,0)))&lt;5,Constants!$C$10,""),IF(VALUE(INDEX(Producer!$B:$B,MATCH($D238,Producer!$A:$A,0)))&lt;5,Constants!$C$11,"")),"")</f>
        <v/>
      </c>
      <c r="K238" s="216" t="str">
        <f>_xlfn.IFNA(IF(($I238)&lt;60,DATE(YEAR(H238)+(5-VALUE(INDEX(Producer!$B:$B,MATCH($D238,Producer!$A:$A,0)))),MONTH(H238),DAY(H238)),""),"")</f>
        <v/>
      </c>
      <c r="L238" s="153" t="str">
        <f t="shared" si="86"/>
        <v/>
      </c>
      <c r="M238" s="146"/>
      <c r="N238" s="148"/>
      <c r="O238" s="148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6"/>
      <c r="AK238" s="146" t="str">
        <f>IF(D238="","",IF(C238="Residential",Constants!$B$10,Constants!$B$11))</f>
        <v/>
      </c>
      <c r="AL238" s="146" t="str">
        <f t="shared" si="87"/>
        <v/>
      </c>
      <c r="AM238" s="206" t="str">
        <f t="shared" si="88"/>
        <v/>
      </c>
      <c r="AN238" s="146" t="str">
        <f t="shared" si="89"/>
        <v/>
      </c>
      <c r="AO238" s="149" t="str">
        <f t="shared" si="90"/>
        <v/>
      </c>
      <c r="AP238" s="150" t="str">
        <f t="shared" si="91"/>
        <v/>
      </c>
      <c r="AQ238" s="146" t="str">
        <f>IFERROR(_xlfn.IFNA(IF($BA238="No",0,IF(INDEX(Constants!B:B,MATCH(($I238/12),Constants!$A:$A,0))=0,0,INDEX(Constants!B:B,MATCH(($I238/12),Constants!$A:$A,0)))),0),"")</f>
        <v/>
      </c>
      <c r="AR238" s="146" t="str">
        <f>IFERROR(_xlfn.IFNA(IF($BA238="No",0,IF(INDEX(Constants!C:C,MATCH(($I238/12),Constants!$A:$A,0))=0,0,INDEX(Constants!C:C,MATCH(($I238/12),Constants!$A:$A,0)))),0),"")</f>
        <v/>
      </c>
      <c r="AS238" s="146" t="str">
        <f>IFERROR(_xlfn.IFNA(IF($BA238="No",0,IF(INDEX(Constants!D:D,MATCH(($I238/12),Constants!$A:$A,0))=0,0,INDEX(Constants!D:D,MATCH(($I238/12),Constants!$A:$A,0)))),0),"")</f>
        <v/>
      </c>
      <c r="AT238" s="146" t="str">
        <f>IFERROR(_xlfn.IFNA(IF($BA238="No",0,IF(INDEX(Constants!E:E,MATCH(($I238/12),Constants!$A:$A,0))=0,0,INDEX(Constants!E:E,MATCH(($I238/12),Constants!$A:$A,0)))),0),"")</f>
        <v/>
      </c>
      <c r="AU238" s="146" t="str">
        <f>IFERROR(_xlfn.IFNA(IF($BA238="No",0,IF(INDEX(Constants!F:F,MATCH(($I238/12),Constants!$A:$A,0))=0,0,INDEX(Constants!F:F,MATCH(($I238/12),Constants!$A:$A,0)))),0),"")</f>
        <v/>
      </c>
      <c r="AV238" s="146" t="str">
        <f>IFERROR(_xlfn.IFNA(IF($BA238="No",0,IF(INDEX(Constants!G:G,MATCH(($I238/12),Constants!$A:$A,0))=0,0,INDEX(Constants!G:G,MATCH(($I238/12),Constants!$A:$A,0)))),0),"")</f>
        <v/>
      </c>
      <c r="AW238" s="146" t="str">
        <f>IFERROR(_xlfn.IFNA(IF($BA238="No",0,IF(INDEX(Constants!H:H,MATCH(($I238/12),Constants!$A:$A,0))=0,0,INDEX(Constants!H:H,MATCH(($I238/12),Constants!$A:$A,0)))),0),"")</f>
        <v/>
      </c>
      <c r="AX238" s="146" t="str">
        <f>IFERROR(_xlfn.IFNA(IF($BA238="No",0,IF(INDEX(Constants!I:I,MATCH(($I238/12),Constants!$A:$A,0))=0,0,INDEX(Constants!I:I,MATCH(($I238/12),Constants!$A:$A,0)))),0),"")</f>
        <v/>
      </c>
      <c r="AY238" s="146" t="str">
        <f>IFERROR(_xlfn.IFNA(IF($BA238="No",0,IF(INDEX(Constants!J:J,MATCH(($I238/12),Constants!$A:$A,0))=0,0,INDEX(Constants!J:J,MATCH(($I238/12),Constants!$A:$A,0)))),0),"")</f>
        <v/>
      </c>
      <c r="AZ238" s="146" t="str">
        <f>IFERROR(_xlfn.IFNA(IF($BA238="No",0,IF(INDEX(Constants!K:K,MATCH(($I238/12),Constants!$A:$A,0))=0,0,INDEX(Constants!K:K,MATCH(($I238/12),Constants!$A:$A,0)))),0),"")</f>
        <v/>
      </c>
      <c r="BA238" s="147" t="str">
        <f>_xlfn.IFNA(INDEX(Producer!$L:$L,MATCH($D238,Producer!$A:$A,0)),"")</f>
        <v/>
      </c>
      <c r="BB238" s="146" t="str">
        <f>IFERROR(IF(AQ238=0,"",IF(($I238/12)=15,_xlfn.CONCAT(Constants!$N$7,TEXT(DATE(YEAR(H238)-(($I238/12)-3),MONTH(H238),DAY(H238)),"dd/mm/yyyy"),", ",Constants!$P$7,TEXT(DATE(YEAR(H238)-(($I238/12)-8),MONTH(H238),DAY(H238)),"dd/mm/yyyy"),", ",Constants!$T$7,TEXT(DATE(YEAR(H238)-(($I238/12)-11),MONTH(H238),DAY(H238)),"dd/mm/yyyy"),", ",Constants!$V$7,TEXT(DATE(YEAR(H238)-(($I238/12)-13),MONTH(H238),DAY(H238)),"dd/mm/yyyy"),", ",Constants!$W$7,TEXT($H238,"dd/mm/yyyy")),IF(($I238/12)=10,_xlfn.CONCAT(Constants!$N$6,TEXT(DATE(YEAR(H238)-(($I238/12)-2),MONTH(H238),DAY(H238)),"dd/mm/yyyy"),", ",Constants!$P$6,TEXT(DATE(YEAR(H238)-(($I238/12)-6),MONTH(H238),DAY(H238)),"dd/mm/yyyy"),", ",Constants!$T$6,TEXT(DATE(YEAR(H238)-(($I238/12)-8),MONTH(H238),DAY(H238)),"dd/mm/yyyy"),", ",Constants!$V$6,TEXT(DATE(YEAR(H238)-(($I238/12)-9),MONTH(H238),DAY(H238)),"dd/mm/yyyy"),", ",Constants!$W$6,TEXT($H238,"dd/mm/yyyy")),IF(($I238/12)=5,_xlfn.CONCAT(Constants!$N$5,TEXT(DATE(YEAR(H238)-(($I238/12)-1),MONTH(H238),DAY(H238)),"dd/mm/yyyy"),", ",Constants!$O$5,TEXT(DATE(YEAR(H238)-(($I238/12)-2),MONTH(H238),DAY(H238)),"dd/mm/yyyy"),", ",Constants!$P$5,TEXT(DATE(YEAR(H238)-(($I238/12)-3),MONTH(H238),DAY(H238)),"dd/mm/yyyy"),", ",Constants!$Q$5,TEXT(DATE(YEAR(H238)-(($I238/12)-4),MONTH(H238),DAY(H238)),"dd/mm/yyyy"),", ",Constants!$R$5,TEXT($H238,"dd/mm/yyyy")),IF(($I238/12)=3,_xlfn.CONCAT(Constants!$N$4,TEXT(DATE(YEAR(H238)-(($I238/12)-1),MONTH(H238),DAY(H238)),"dd/mm/yyyy"),", ",Constants!$O$4,TEXT(DATE(YEAR(H238)-(($I238/12)-2),MONTH(H238),DAY(H238)),"dd/mm/yyyy"),", ",Constants!$P$4,TEXT($H238,"dd/mm/yyyy")),IF(($I238/12)=2,_xlfn.CONCAT(Constants!$N$3,TEXT(DATE(YEAR(H238)-(($I238/12)-1),MONTH(H238),DAY(H238)),"dd/mm/yyyy"),", ",Constants!$O$3,TEXT($H238,"dd/mm/yyyy")),IF(($I238/12)=1,_xlfn.CONCAT(Constants!$N$2,TEXT($H238,"dd/mm/yyyy")),"Update Constants"))))))),"")</f>
        <v/>
      </c>
      <c r="BC238" s="147" t="str">
        <f>_xlfn.IFNA(VALUE(INDEX(Producer!$K:$K,MATCH($D238,Producer!$A:$A,0))),"")</f>
        <v/>
      </c>
      <c r="BD238" s="147" t="str">
        <f>_xlfn.IFNA(INDEX(Producer!$I:$I,MATCH($D238,Producer!$A:$A,0)),"")</f>
        <v/>
      </c>
      <c r="BE238" s="147" t="str">
        <f t="shared" si="92"/>
        <v/>
      </c>
      <c r="BF238" s="147"/>
      <c r="BG238" s="147"/>
      <c r="BH238" s="151" t="str">
        <f>_xlfn.IFNA(INDEX(Constants!$B:$B,MATCH(BC238,Constants!A:A,0)),"")</f>
        <v/>
      </c>
      <c r="BI238" s="147" t="str">
        <f>IF(LEFT(B238,15)="Limited Company",Constants!$D$16,IFERROR(_xlfn.IFNA(IF(C238="Residential",IF(BK238&lt;75,INDEX(Constants!$B:$B,MATCH(VALUE(60)/100,Constants!$A:$A,0)),INDEX(Constants!$B:$B,MATCH(VALUE(BK238)/100,Constants!$A:$A,0))),IF(BK238&lt;60,INDEX(Constants!$C:$C,MATCH(VALUE(60)/100,Constants!$A:$A,0)),INDEX(Constants!$C:$C,MATCH(VALUE(BK238)/100,Constants!$A:$A,0)))),""),""))</f>
        <v/>
      </c>
      <c r="BJ238" s="147" t="str">
        <f t="shared" si="93"/>
        <v/>
      </c>
      <c r="BK238" s="147" t="str">
        <f>_xlfn.IFNA(VALUE(INDEX(Producer!$E:$E,MATCH($D238,Producer!$A:$A,0)))*100,"")</f>
        <v/>
      </c>
      <c r="BL238" s="146" t="str">
        <f>_xlfn.IFNA(IF(IFERROR(FIND("Part &amp; Part",B238),-10)&gt;0,"PP",IF(OR(LEFT(B238,25)="Residential Interest Only",INDEX(Producer!$P:$P,MATCH($D238,Producer!$A:$A,0))="IO",INDEX(Producer!$P:$P,MATCH($D238,Producer!$A:$A,0))="Retirement Interest Only"),"IO",IF($C238="BuyToLet","CI, IO","CI"))),"")</f>
        <v/>
      </c>
      <c r="BM238" s="152" t="str">
        <f>_xlfn.IFNA(IF(BL238="IO",100%,IF(AND(INDEX(Producer!$P:$P,MATCH($D238,Producer!$A:$A,0))="Residential Interest Only Part &amp; Part",BK238=75),80%,IF(C238="BuyToLet",100%,IF(BL238="Interest Only",100%,IF(AND(INDEX(Producer!$P:$P,MATCH($D238,Producer!$A:$A,0))="Residential Interest Only Part &amp; Part",BK238=60),100%,""))))),"")</f>
        <v/>
      </c>
      <c r="BN238" s="218" t="str">
        <f>_xlfn.IFNA(IF(VALUE(INDEX(Producer!$H:$H,MATCH($D238,Producer!$A:$A,0)))=0,"",VALUE(INDEX(Producer!$H:$H,MATCH($D238,Producer!$A:$A,0)))),"")</f>
        <v/>
      </c>
      <c r="BO238" s="153"/>
      <c r="BP238" s="153"/>
      <c r="BQ238" s="219" t="str">
        <f t="shared" si="94"/>
        <v/>
      </c>
      <c r="BR238" s="146"/>
      <c r="BS238" s="146"/>
      <c r="BT238" s="146"/>
      <c r="BU238" s="146"/>
      <c r="BV238" s="219" t="str">
        <f t="shared" si="95"/>
        <v/>
      </c>
      <c r="BW238" s="146"/>
      <c r="BX238" s="146"/>
      <c r="BY238" s="146" t="str">
        <f t="shared" si="96"/>
        <v/>
      </c>
      <c r="BZ238" s="146" t="str">
        <f t="shared" si="97"/>
        <v/>
      </c>
      <c r="CA238" s="146" t="str">
        <f t="shared" si="98"/>
        <v/>
      </c>
      <c r="CB238" s="146" t="str">
        <f t="shared" si="99"/>
        <v/>
      </c>
      <c r="CC238" s="146" t="str">
        <f>_xlfn.IFNA(IF(INDEX(Producer!$P:$P,MATCH($D238,Producer!$A:$A,0))="Help to Buy","Only available","No"),"")</f>
        <v/>
      </c>
      <c r="CD238" s="146" t="str">
        <f>_xlfn.IFNA(IF(INDEX(Producer!$P:$P,MATCH($D238,Producer!$A:$A,0))="Shared Ownership","Only available","No"),"")</f>
        <v/>
      </c>
      <c r="CE238" s="146" t="str">
        <f>_xlfn.IFNA(IF(INDEX(Producer!$P:$P,MATCH($D238,Producer!$A:$A,0))="Right to Buy","Only available","No"),"")</f>
        <v/>
      </c>
      <c r="CF238" s="146" t="str">
        <f t="shared" si="100"/>
        <v/>
      </c>
      <c r="CG238" s="146" t="str">
        <f>_xlfn.IFNA(IF(INDEX(Producer!$P:$P,MATCH($D238,Producer!$A:$A,0))="Retirement Interest Only","Only available","No"),"")</f>
        <v/>
      </c>
      <c r="CH238" s="146" t="str">
        <f t="shared" si="101"/>
        <v/>
      </c>
      <c r="CI238" s="146" t="str">
        <f>_xlfn.IFNA(IF(INDEX(Producer!$P:$P,MATCH($D238,Producer!$A:$A,0))="Intermediary Holiday Let","Only available","No"),"")</f>
        <v/>
      </c>
      <c r="CJ238" s="146" t="str">
        <f t="shared" si="102"/>
        <v/>
      </c>
      <c r="CK238" s="146" t="str">
        <f>_xlfn.IFNA(IF(OR(INDEX(Producer!$P:$P,MATCH($D238,Producer!$A:$A,0))="Intermediary Small HMO",INDEX(Producer!$P:$P,MATCH($D238,Producer!$A:$A,0))="Intermediary Large HMO"),"Only available","No"),"")</f>
        <v/>
      </c>
      <c r="CL238" s="146" t="str">
        <f t="shared" si="103"/>
        <v/>
      </c>
      <c r="CM238" s="146" t="str">
        <f t="shared" si="104"/>
        <v/>
      </c>
      <c r="CN238" s="146" t="str">
        <f t="shared" si="105"/>
        <v/>
      </c>
      <c r="CO238" s="146" t="str">
        <f t="shared" si="106"/>
        <v/>
      </c>
      <c r="CP238" s="146" t="str">
        <f t="shared" si="107"/>
        <v/>
      </c>
      <c r="CQ238" s="146" t="str">
        <f t="shared" si="108"/>
        <v/>
      </c>
      <c r="CR238" s="146" t="str">
        <f t="shared" si="109"/>
        <v/>
      </c>
      <c r="CS238" s="146" t="str">
        <f t="shared" si="110"/>
        <v/>
      </c>
      <c r="CT238" s="146" t="str">
        <f t="shared" si="111"/>
        <v/>
      </c>
      <c r="CU238" s="146"/>
    </row>
    <row r="239" spans="1:99" ht="16.399999999999999" customHeight="1" x14ac:dyDescent="0.35">
      <c r="A239" s="145" t="str">
        <f t="shared" si="84"/>
        <v/>
      </c>
      <c r="B239" s="145" t="str">
        <f>_xlfn.IFNA(_xlfn.CONCAT(INDEX(Producer!$P:$P,MATCH($D239,Producer!$A:$A,0))," ",IF(INDEX(Producer!$N:$N,MATCH($D239,Producer!$A:$A,0))="Yes","Green ",""),IF(AND(INDEX(Producer!$L:$L,MATCH($D239,Producer!$A:$A,0))="No",INDEX(Producer!$C:$C,MATCH($D239,Producer!$A:$A,0))="Fixed"),"Flexit ",""),INDEX(Producer!$B:$B,MATCH($D239,Producer!$A:$A,0))," Year ",INDEX(Producer!$C:$C,MATCH($D239,Producer!$A:$A,0))," ",VALUE(INDEX(Producer!$E:$E,MATCH($D239,Producer!$A:$A,0)))*100,"% LTV",IF(INDEX(Producer!$N:$N,MATCH($D239,Producer!$A:$A,0))="Yes"," (EPC A-C)","")," - ",IF(INDEX(Producer!$D:$D,MATCH($D239,Producer!$A:$A,0))="DLY","Daily","Annual")),"")</f>
        <v/>
      </c>
      <c r="C239" s="146" t="str">
        <f>_xlfn.IFNA(INDEX(Producer!$Q:$Q,MATCH($D239,Producer!$A:$A,0)),"")</f>
        <v/>
      </c>
      <c r="D239" s="146" t="str">
        <f>IFERROR(VALUE(MID(Producer!$R$2,IF($D238="",1/0,FIND(_xlfn.CONCAT($D237,$D238),Producer!$R$2)+10),5)),"")</f>
        <v/>
      </c>
      <c r="E239" s="146" t="str">
        <f t="shared" si="85"/>
        <v/>
      </c>
      <c r="F239" s="146"/>
      <c r="G239" s="147" t="str">
        <f>_xlfn.IFNA(VALUE(INDEX(Producer!$F:$F,MATCH($D239,Producer!$A:$A,0)))*100,"")</f>
        <v/>
      </c>
      <c r="H239" s="216" t="str">
        <f>_xlfn.IFNA(IFERROR(DATEVALUE(INDEX(Producer!$M:$M,MATCH($D239,Producer!$A:$A,0))),(INDEX(Producer!$M:$M,MATCH($D239,Producer!$A:$A,0)))),"")</f>
        <v/>
      </c>
      <c r="I239" s="217" t="str">
        <f>_xlfn.IFNA(VALUE(INDEX(Producer!$B:$B,MATCH($D239,Producer!$A:$A,0)))*12,"")</f>
        <v/>
      </c>
      <c r="J239" s="146" t="str">
        <f>_xlfn.IFNA(IF(C239="Residential",IF(VALUE(INDEX(Producer!$B:$B,MATCH($D239,Producer!$A:$A,0)))&lt;5,Constants!$C$10,""),IF(VALUE(INDEX(Producer!$B:$B,MATCH($D239,Producer!$A:$A,0)))&lt;5,Constants!$C$11,"")),"")</f>
        <v/>
      </c>
      <c r="K239" s="216" t="str">
        <f>_xlfn.IFNA(IF(($I239)&lt;60,DATE(YEAR(H239)+(5-VALUE(INDEX(Producer!$B:$B,MATCH($D239,Producer!$A:$A,0)))),MONTH(H239),DAY(H239)),""),"")</f>
        <v/>
      </c>
      <c r="L239" s="153" t="str">
        <f t="shared" si="86"/>
        <v/>
      </c>
      <c r="M239" s="146"/>
      <c r="N239" s="148"/>
      <c r="O239" s="148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6"/>
      <c r="AD239" s="146"/>
      <c r="AE239" s="146"/>
      <c r="AF239" s="146"/>
      <c r="AG239" s="146"/>
      <c r="AH239" s="146"/>
      <c r="AI239" s="146"/>
      <c r="AJ239" s="146"/>
      <c r="AK239" s="146" t="str">
        <f>IF(D239="","",IF(C239="Residential",Constants!$B$10,Constants!$B$11))</f>
        <v/>
      </c>
      <c r="AL239" s="146" t="str">
        <f t="shared" si="87"/>
        <v/>
      </c>
      <c r="AM239" s="206" t="str">
        <f t="shared" si="88"/>
        <v/>
      </c>
      <c r="AN239" s="146" t="str">
        <f t="shared" si="89"/>
        <v/>
      </c>
      <c r="AO239" s="149" t="str">
        <f t="shared" si="90"/>
        <v/>
      </c>
      <c r="AP239" s="150" t="str">
        <f t="shared" si="91"/>
        <v/>
      </c>
      <c r="AQ239" s="146" t="str">
        <f>IFERROR(_xlfn.IFNA(IF($BA239="No",0,IF(INDEX(Constants!B:B,MATCH(($I239/12),Constants!$A:$A,0))=0,0,INDEX(Constants!B:B,MATCH(($I239/12),Constants!$A:$A,0)))),0),"")</f>
        <v/>
      </c>
      <c r="AR239" s="146" t="str">
        <f>IFERROR(_xlfn.IFNA(IF($BA239="No",0,IF(INDEX(Constants!C:C,MATCH(($I239/12),Constants!$A:$A,0))=0,0,INDEX(Constants!C:C,MATCH(($I239/12),Constants!$A:$A,0)))),0),"")</f>
        <v/>
      </c>
      <c r="AS239" s="146" t="str">
        <f>IFERROR(_xlfn.IFNA(IF($BA239="No",0,IF(INDEX(Constants!D:D,MATCH(($I239/12),Constants!$A:$A,0))=0,0,INDEX(Constants!D:D,MATCH(($I239/12),Constants!$A:$A,0)))),0),"")</f>
        <v/>
      </c>
      <c r="AT239" s="146" t="str">
        <f>IFERROR(_xlfn.IFNA(IF($BA239="No",0,IF(INDEX(Constants!E:E,MATCH(($I239/12),Constants!$A:$A,0))=0,0,INDEX(Constants!E:E,MATCH(($I239/12),Constants!$A:$A,0)))),0),"")</f>
        <v/>
      </c>
      <c r="AU239" s="146" t="str">
        <f>IFERROR(_xlfn.IFNA(IF($BA239="No",0,IF(INDEX(Constants!F:F,MATCH(($I239/12),Constants!$A:$A,0))=0,0,INDEX(Constants!F:F,MATCH(($I239/12),Constants!$A:$A,0)))),0),"")</f>
        <v/>
      </c>
      <c r="AV239" s="146" t="str">
        <f>IFERROR(_xlfn.IFNA(IF($BA239="No",0,IF(INDEX(Constants!G:G,MATCH(($I239/12),Constants!$A:$A,0))=0,0,INDEX(Constants!G:G,MATCH(($I239/12),Constants!$A:$A,0)))),0),"")</f>
        <v/>
      </c>
      <c r="AW239" s="146" t="str">
        <f>IFERROR(_xlfn.IFNA(IF($BA239="No",0,IF(INDEX(Constants!H:H,MATCH(($I239/12),Constants!$A:$A,0))=0,0,INDEX(Constants!H:H,MATCH(($I239/12),Constants!$A:$A,0)))),0),"")</f>
        <v/>
      </c>
      <c r="AX239" s="146" t="str">
        <f>IFERROR(_xlfn.IFNA(IF($BA239="No",0,IF(INDEX(Constants!I:I,MATCH(($I239/12),Constants!$A:$A,0))=0,0,INDEX(Constants!I:I,MATCH(($I239/12),Constants!$A:$A,0)))),0),"")</f>
        <v/>
      </c>
      <c r="AY239" s="146" t="str">
        <f>IFERROR(_xlfn.IFNA(IF($BA239="No",0,IF(INDEX(Constants!J:J,MATCH(($I239/12),Constants!$A:$A,0))=0,0,INDEX(Constants!J:J,MATCH(($I239/12),Constants!$A:$A,0)))),0),"")</f>
        <v/>
      </c>
      <c r="AZ239" s="146" t="str">
        <f>IFERROR(_xlfn.IFNA(IF($BA239="No",0,IF(INDEX(Constants!K:K,MATCH(($I239/12),Constants!$A:$A,0))=0,0,INDEX(Constants!K:K,MATCH(($I239/12),Constants!$A:$A,0)))),0),"")</f>
        <v/>
      </c>
      <c r="BA239" s="147" t="str">
        <f>_xlfn.IFNA(INDEX(Producer!$L:$L,MATCH($D239,Producer!$A:$A,0)),"")</f>
        <v/>
      </c>
      <c r="BB239" s="146" t="str">
        <f>IFERROR(IF(AQ239=0,"",IF(($I239/12)=15,_xlfn.CONCAT(Constants!$N$7,TEXT(DATE(YEAR(H239)-(($I239/12)-3),MONTH(H239),DAY(H239)),"dd/mm/yyyy"),", ",Constants!$P$7,TEXT(DATE(YEAR(H239)-(($I239/12)-8),MONTH(H239),DAY(H239)),"dd/mm/yyyy"),", ",Constants!$T$7,TEXT(DATE(YEAR(H239)-(($I239/12)-11),MONTH(H239),DAY(H239)),"dd/mm/yyyy"),", ",Constants!$V$7,TEXT(DATE(YEAR(H239)-(($I239/12)-13),MONTH(H239),DAY(H239)),"dd/mm/yyyy"),", ",Constants!$W$7,TEXT($H239,"dd/mm/yyyy")),IF(($I239/12)=10,_xlfn.CONCAT(Constants!$N$6,TEXT(DATE(YEAR(H239)-(($I239/12)-2),MONTH(H239),DAY(H239)),"dd/mm/yyyy"),", ",Constants!$P$6,TEXT(DATE(YEAR(H239)-(($I239/12)-6),MONTH(H239),DAY(H239)),"dd/mm/yyyy"),", ",Constants!$T$6,TEXT(DATE(YEAR(H239)-(($I239/12)-8),MONTH(H239),DAY(H239)),"dd/mm/yyyy"),", ",Constants!$V$6,TEXT(DATE(YEAR(H239)-(($I239/12)-9),MONTH(H239),DAY(H239)),"dd/mm/yyyy"),", ",Constants!$W$6,TEXT($H239,"dd/mm/yyyy")),IF(($I239/12)=5,_xlfn.CONCAT(Constants!$N$5,TEXT(DATE(YEAR(H239)-(($I239/12)-1),MONTH(H239),DAY(H239)),"dd/mm/yyyy"),", ",Constants!$O$5,TEXT(DATE(YEAR(H239)-(($I239/12)-2),MONTH(H239),DAY(H239)),"dd/mm/yyyy"),", ",Constants!$P$5,TEXT(DATE(YEAR(H239)-(($I239/12)-3),MONTH(H239),DAY(H239)),"dd/mm/yyyy"),", ",Constants!$Q$5,TEXT(DATE(YEAR(H239)-(($I239/12)-4),MONTH(H239),DAY(H239)),"dd/mm/yyyy"),", ",Constants!$R$5,TEXT($H239,"dd/mm/yyyy")),IF(($I239/12)=3,_xlfn.CONCAT(Constants!$N$4,TEXT(DATE(YEAR(H239)-(($I239/12)-1),MONTH(H239),DAY(H239)),"dd/mm/yyyy"),", ",Constants!$O$4,TEXT(DATE(YEAR(H239)-(($I239/12)-2),MONTH(H239),DAY(H239)),"dd/mm/yyyy"),", ",Constants!$P$4,TEXT($H239,"dd/mm/yyyy")),IF(($I239/12)=2,_xlfn.CONCAT(Constants!$N$3,TEXT(DATE(YEAR(H239)-(($I239/12)-1),MONTH(H239),DAY(H239)),"dd/mm/yyyy"),", ",Constants!$O$3,TEXT($H239,"dd/mm/yyyy")),IF(($I239/12)=1,_xlfn.CONCAT(Constants!$N$2,TEXT($H239,"dd/mm/yyyy")),"Update Constants"))))))),"")</f>
        <v/>
      </c>
      <c r="BC239" s="147" t="str">
        <f>_xlfn.IFNA(VALUE(INDEX(Producer!$K:$K,MATCH($D239,Producer!$A:$A,0))),"")</f>
        <v/>
      </c>
      <c r="BD239" s="147" t="str">
        <f>_xlfn.IFNA(INDEX(Producer!$I:$I,MATCH($D239,Producer!$A:$A,0)),"")</f>
        <v/>
      </c>
      <c r="BE239" s="147" t="str">
        <f t="shared" si="92"/>
        <v/>
      </c>
      <c r="BF239" s="147"/>
      <c r="BG239" s="147"/>
      <c r="BH239" s="151" t="str">
        <f>_xlfn.IFNA(INDEX(Constants!$B:$B,MATCH(BC239,Constants!A:A,0)),"")</f>
        <v/>
      </c>
      <c r="BI239" s="147" t="str">
        <f>IF(LEFT(B239,15)="Limited Company",Constants!$D$16,IFERROR(_xlfn.IFNA(IF(C239="Residential",IF(BK239&lt;75,INDEX(Constants!$B:$B,MATCH(VALUE(60)/100,Constants!$A:$A,0)),INDEX(Constants!$B:$B,MATCH(VALUE(BK239)/100,Constants!$A:$A,0))),IF(BK239&lt;60,INDEX(Constants!$C:$C,MATCH(VALUE(60)/100,Constants!$A:$A,0)),INDEX(Constants!$C:$C,MATCH(VALUE(BK239)/100,Constants!$A:$A,0)))),""),""))</f>
        <v/>
      </c>
      <c r="BJ239" s="147" t="str">
        <f t="shared" si="93"/>
        <v/>
      </c>
      <c r="BK239" s="147" t="str">
        <f>_xlfn.IFNA(VALUE(INDEX(Producer!$E:$E,MATCH($D239,Producer!$A:$A,0)))*100,"")</f>
        <v/>
      </c>
      <c r="BL239" s="146" t="str">
        <f>_xlfn.IFNA(IF(IFERROR(FIND("Part &amp; Part",B239),-10)&gt;0,"PP",IF(OR(LEFT(B239,25)="Residential Interest Only",INDEX(Producer!$P:$P,MATCH($D239,Producer!$A:$A,0))="IO",INDEX(Producer!$P:$P,MATCH($D239,Producer!$A:$A,0))="Retirement Interest Only"),"IO",IF($C239="BuyToLet","CI, IO","CI"))),"")</f>
        <v/>
      </c>
      <c r="BM239" s="152" t="str">
        <f>_xlfn.IFNA(IF(BL239="IO",100%,IF(AND(INDEX(Producer!$P:$P,MATCH($D239,Producer!$A:$A,0))="Residential Interest Only Part &amp; Part",BK239=75),80%,IF(C239="BuyToLet",100%,IF(BL239="Interest Only",100%,IF(AND(INDEX(Producer!$P:$P,MATCH($D239,Producer!$A:$A,0))="Residential Interest Only Part &amp; Part",BK239=60),100%,""))))),"")</f>
        <v/>
      </c>
      <c r="BN239" s="218" t="str">
        <f>_xlfn.IFNA(IF(VALUE(INDEX(Producer!$H:$H,MATCH($D239,Producer!$A:$A,0)))=0,"",VALUE(INDEX(Producer!$H:$H,MATCH($D239,Producer!$A:$A,0)))),"")</f>
        <v/>
      </c>
      <c r="BO239" s="153"/>
      <c r="BP239" s="153"/>
      <c r="BQ239" s="219" t="str">
        <f t="shared" si="94"/>
        <v/>
      </c>
      <c r="BR239" s="146"/>
      <c r="BS239" s="146"/>
      <c r="BT239" s="146"/>
      <c r="BU239" s="146"/>
      <c r="BV239" s="219" t="str">
        <f t="shared" si="95"/>
        <v/>
      </c>
      <c r="BW239" s="146"/>
      <c r="BX239" s="146"/>
      <c r="BY239" s="146" t="str">
        <f t="shared" si="96"/>
        <v/>
      </c>
      <c r="BZ239" s="146" t="str">
        <f t="shared" si="97"/>
        <v/>
      </c>
      <c r="CA239" s="146" t="str">
        <f t="shared" si="98"/>
        <v/>
      </c>
      <c r="CB239" s="146" t="str">
        <f t="shared" si="99"/>
        <v/>
      </c>
      <c r="CC239" s="146" t="str">
        <f>_xlfn.IFNA(IF(INDEX(Producer!$P:$P,MATCH($D239,Producer!$A:$A,0))="Help to Buy","Only available","No"),"")</f>
        <v/>
      </c>
      <c r="CD239" s="146" t="str">
        <f>_xlfn.IFNA(IF(INDEX(Producer!$P:$P,MATCH($D239,Producer!$A:$A,0))="Shared Ownership","Only available","No"),"")</f>
        <v/>
      </c>
      <c r="CE239" s="146" t="str">
        <f>_xlfn.IFNA(IF(INDEX(Producer!$P:$P,MATCH($D239,Producer!$A:$A,0))="Right to Buy","Only available","No"),"")</f>
        <v/>
      </c>
      <c r="CF239" s="146" t="str">
        <f t="shared" si="100"/>
        <v/>
      </c>
      <c r="CG239" s="146" t="str">
        <f>_xlfn.IFNA(IF(INDEX(Producer!$P:$P,MATCH($D239,Producer!$A:$A,0))="Retirement Interest Only","Only available","No"),"")</f>
        <v/>
      </c>
      <c r="CH239" s="146" t="str">
        <f t="shared" si="101"/>
        <v/>
      </c>
      <c r="CI239" s="146" t="str">
        <f>_xlfn.IFNA(IF(INDEX(Producer!$P:$P,MATCH($D239,Producer!$A:$A,0))="Intermediary Holiday Let","Only available","No"),"")</f>
        <v/>
      </c>
      <c r="CJ239" s="146" t="str">
        <f t="shared" si="102"/>
        <v/>
      </c>
      <c r="CK239" s="146" t="str">
        <f>_xlfn.IFNA(IF(OR(INDEX(Producer!$P:$P,MATCH($D239,Producer!$A:$A,0))="Intermediary Small HMO",INDEX(Producer!$P:$P,MATCH($D239,Producer!$A:$A,0))="Intermediary Large HMO"),"Only available","No"),"")</f>
        <v/>
      </c>
      <c r="CL239" s="146" t="str">
        <f t="shared" si="103"/>
        <v/>
      </c>
      <c r="CM239" s="146" t="str">
        <f t="shared" si="104"/>
        <v/>
      </c>
      <c r="CN239" s="146" t="str">
        <f t="shared" si="105"/>
        <v/>
      </c>
      <c r="CO239" s="146" t="str">
        <f t="shared" si="106"/>
        <v/>
      </c>
      <c r="CP239" s="146" t="str">
        <f t="shared" si="107"/>
        <v/>
      </c>
      <c r="CQ239" s="146" t="str">
        <f t="shared" si="108"/>
        <v/>
      </c>
      <c r="CR239" s="146" t="str">
        <f t="shared" si="109"/>
        <v/>
      </c>
      <c r="CS239" s="146" t="str">
        <f t="shared" si="110"/>
        <v/>
      </c>
      <c r="CT239" s="146" t="str">
        <f t="shared" si="111"/>
        <v/>
      </c>
      <c r="CU239" s="146"/>
    </row>
    <row r="240" spans="1:99" ht="16.399999999999999" customHeight="1" x14ac:dyDescent="0.35">
      <c r="A240" s="145" t="str">
        <f t="shared" si="84"/>
        <v/>
      </c>
      <c r="B240" s="145" t="str">
        <f>_xlfn.IFNA(_xlfn.CONCAT(INDEX(Producer!$P:$P,MATCH($D240,Producer!$A:$A,0))," ",IF(INDEX(Producer!$N:$N,MATCH($D240,Producer!$A:$A,0))="Yes","Green ",""),IF(AND(INDEX(Producer!$L:$L,MATCH($D240,Producer!$A:$A,0))="No",INDEX(Producer!$C:$C,MATCH($D240,Producer!$A:$A,0))="Fixed"),"Flexit ",""),INDEX(Producer!$B:$B,MATCH($D240,Producer!$A:$A,0))," Year ",INDEX(Producer!$C:$C,MATCH($D240,Producer!$A:$A,0))," ",VALUE(INDEX(Producer!$E:$E,MATCH($D240,Producer!$A:$A,0)))*100,"% LTV",IF(INDEX(Producer!$N:$N,MATCH($D240,Producer!$A:$A,0))="Yes"," (EPC A-C)","")," - ",IF(INDEX(Producer!$D:$D,MATCH($D240,Producer!$A:$A,0))="DLY","Daily","Annual")),"")</f>
        <v/>
      </c>
      <c r="C240" s="146" t="str">
        <f>_xlfn.IFNA(INDEX(Producer!$Q:$Q,MATCH($D240,Producer!$A:$A,0)),"")</f>
        <v/>
      </c>
      <c r="D240" s="146" t="str">
        <f>IFERROR(VALUE(MID(Producer!$R$2,IF($D239="",1/0,FIND(_xlfn.CONCAT($D238,$D239),Producer!$R$2)+10),5)),"")</f>
        <v/>
      </c>
      <c r="E240" s="146" t="str">
        <f t="shared" si="85"/>
        <v/>
      </c>
      <c r="F240" s="146"/>
      <c r="G240" s="147" t="str">
        <f>_xlfn.IFNA(VALUE(INDEX(Producer!$F:$F,MATCH($D240,Producer!$A:$A,0)))*100,"")</f>
        <v/>
      </c>
      <c r="H240" s="216" t="str">
        <f>_xlfn.IFNA(IFERROR(DATEVALUE(INDEX(Producer!$M:$M,MATCH($D240,Producer!$A:$A,0))),(INDEX(Producer!$M:$M,MATCH($D240,Producer!$A:$A,0)))),"")</f>
        <v/>
      </c>
      <c r="I240" s="217" t="str">
        <f>_xlfn.IFNA(VALUE(INDEX(Producer!$B:$B,MATCH($D240,Producer!$A:$A,0)))*12,"")</f>
        <v/>
      </c>
      <c r="J240" s="146" t="str">
        <f>_xlfn.IFNA(IF(C240="Residential",IF(VALUE(INDEX(Producer!$B:$B,MATCH($D240,Producer!$A:$A,0)))&lt;5,Constants!$C$10,""),IF(VALUE(INDEX(Producer!$B:$B,MATCH($D240,Producer!$A:$A,0)))&lt;5,Constants!$C$11,"")),"")</f>
        <v/>
      </c>
      <c r="K240" s="216" t="str">
        <f>_xlfn.IFNA(IF(($I240)&lt;60,DATE(YEAR(H240)+(5-VALUE(INDEX(Producer!$B:$B,MATCH($D240,Producer!$A:$A,0)))),MONTH(H240),DAY(H240)),""),"")</f>
        <v/>
      </c>
      <c r="L240" s="153" t="str">
        <f t="shared" si="86"/>
        <v/>
      </c>
      <c r="M240" s="146"/>
      <c r="N240" s="148"/>
      <c r="O240" s="148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6"/>
      <c r="AK240" s="146" t="str">
        <f>IF(D240="","",IF(C240="Residential",Constants!$B$10,Constants!$B$11))</f>
        <v/>
      </c>
      <c r="AL240" s="146" t="str">
        <f t="shared" si="87"/>
        <v/>
      </c>
      <c r="AM240" s="206" t="str">
        <f t="shared" si="88"/>
        <v/>
      </c>
      <c r="AN240" s="146" t="str">
        <f t="shared" si="89"/>
        <v/>
      </c>
      <c r="AO240" s="149" t="str">
        <f t="shared" si="90"/>
        <v/>
      </c>
      <c r="AP240" s="150" t="str">
        <f t="shared" si="91"/>
        <v/>
      </c>
      <c r="AQ240" s="146" t="str">
        <f>IFERROR(_xlfn.IFNA(IF($BA240="No",0,IF(INDEX(Constants!B:B,MATCH(($I240/12),Constants!$A:$A,0))=0,0,INDEX(Constants!B:B,MATCH(($I240/12),Constants!$A:$A,0)))),0),"")</f>
        <v/>
      </c>
      <c r="AR240" s="146" t="str">
        <f>IFERROR(_xlfn.IFNA(IF($BA240="No",0,IF(INDEX(Constants!C:C,MATCH(($I240/12),Constants!$A:$A,0))=0,0,INDEX(Constants!C:C,MATCH(($I240/12),Constants!$A:$A,0)))),0),"")</f>
        <v/>
      </c>
      <c r="AS240" s="146" t="str">
        <f>IFERROR(_xlfn.IFNA(IF($BA240="No",0,IF(INDEX(Constants!D:D,MATCH(($I240/12),Constants!$A:$A,0))=0,0,INDEX(Constants!D:D,MATCH(($I240/12),Constants!$A:$A,0)))),0),"")</f>
        <v/>
      </c>
      <c r="AT240" s="146" t="str">
        <f>IFERROR(_xlfn.IFNA(IF($BA240="No",0,IF(INDEX(Constants!E:E,MATCH(($I240/12),Constants!$A:$A,0))=0,0,INDEX(Constants!E:E,MATCH(($I240/12),Constants!$A:$A,0)))),0),"")</f>
        <v/>
      </c>
      <c r="AU240" s="146" t="str">
        <f>IFERROR(_xlfn.IFNA(IF($BA240="No",0,IF(INDEX(Constants!F:F,MATCH(($I240/12),Constants!$A:$A,0))=0,0,INDEX(Constants!F:F,MATCH(($I240/12),Constants!$A:$A,0)))),0),"")</f>
        <v/>
      </c>
      <c r="AV240" s="146" t="str">
        <f>IFERROR(_xlfn.IFNA(IF($BA240="No",0,IF(INDEX(Constants!G:G,MATCH(($I240/12),Constants!$A:$A,0))=0,0,INDEX(Constants!G:G,MATCH(($I240/12),Constants!$A:$A,0)))),0),"")</f>
        <v/>
      </c>
      <c r="AW240" s="146" t="str">
        <f>IFERROR(_xlfn.IFNA(IF($BA240="No",0,IF(INDEX(Constants!H:H,MATCH(($I240/12),Constants!$A:$A,0))=0,0,INDEX(Constants!H:H,MATCH(($I240/12),Constants!$A:$A,0)))),0),"")</f>
        <v/>
      </c>
      <c r="AX240" s="146" t="str">
        <f>IFERROR(_xlfn.IFNA(IF($BA240="No",0,IF(INDEX(Constants!I:I,MATCH(($I240/12),Constants!$A:$A,0))=0,0,INDEX(Constants!I:I,MATCH(($I240/12),Constants!$A:$A,0)))),0),"")</f>
        <v/>
      </c>
      <c r="AY240" s="146" t="str">
        <f>IFERROR(_xlfn.IFNA(IF($BA240="No",0,IF(INDEX(Constants!J:J,MATCH(($I240/12),Constants!$A:$A,0))=0,0,INDEX(Constants!J:J,MATCH(($I240/12),Constants!$A:$A,0)))),0),"")</f>
        <v/>
      </c>
      <c r="AZ240" s="146" t="str">
        <f>IFERROR(_xlfn.IFNA(IF($BA240="No",0,IF(INDEX(Constants!K:K,MATCH(($I240/12),Constants!$A:$A,0))=0,0,INDEX(Constants!K:K,MATCH(($I240/12),Constants!$A:$A,0)))),0),"")</f>
        <v/>
      </c>
      <c r="BA240" s="147" t="str">
        <f>_xlfn.IFNA(INDEX(Producer!$L:$L,MATCH($D240,Producer!$A:$A,0)),"")</f>
        <v/>
      </c>
      <c r="BB240" s="146" t="str">
        <f>IFERROR(IF(AQ240=0,"",IF(($I240/12)=15,_xlfn.CONCAT(Constants!$N$7,TEXT(DATE(YEAR(H240)-(($I240/12)-3),MONTH(H240),DAY(H240)),"dd/mm/yyyy"),", ",Constants!$P$7,TEXT(DATE(YEAR(H240)-(($I240/12)-8),MONTH(H240),DAY(H240)),"dd/mm/yyyy"),", ",Constants!$T$7,TEXT(DATE(YEAR(H240)-(($I240/12)-11),MONTH(H240),DAY(H240)),"dd/mm/yyyy"),", ",Constants!$V$7,TEXT(DATE(YEAR(H240)-(($I240/12)-13),MONTH(H240),DAY(H240)),"dd/mm/yyyy"),", ",Constants!$W$7,TEXT($H240,"dd/mm/yyyy")),IF(($I240/12)=10,_xlfn.CONCAT(Constants!$N$6,TEXT(DATE(YEAR(H240)-(($I240/12)-2),MONTH(H240),DAY(H240)),"dd/mm/yyyy"),", ",Constants!$P$6,TEXT(DATE(YEAR(H240)-(($I240/12)-6),MONTH(H240),DAY(H240)),"dd/mm/yyyy"),", ",Constants!$T$6,TEXT(DATE(YEAR(H240)-(($I240/12)-8),MONTH(H240),DAY(H240)),"dd/mm/yyyy"),", ",Constants!$V$6,TEXT(DATE(YEAR(H240)-(($I240/12)-9),MONTH(H240),DAY(H240)),"dd/mm/yyyy"),", ",Constants!$W$6,TEXT($H240,"dd/mm/yyyy")),IF(($I240/12)=5,_xlfn.CONCAT(Constants!$N$5,TEXT(DATE(YEAR(H240)-(($I240/12)-1),MONTH(H240),DAY(H240)),"dd/mm/yyyy"),", ",Constants!$O$5,TEXT(DATE(YEAR(H240)-(($I240/12)-2),MONTH(H240),DAY(H240)),"dd/mm/yyyy"),", ",Constants!$P$5,TEXT(DATE(YEAR(H240)-(($I240/12)-3),MONTH(H240),DAY(H240)),"dd/mm/yyyy"),", ",Constants!$Q$5,TEXT(DATE(YEAR(H240)-(($I240/12)-4),MONTH(H240),DAY(H240)),"dd/mm/yyyy"),", ",Constants!$R$5,TEXT($H240,"dd/mm/yyyy")),IF(($I240/12)=3,_xlfn.CONCAT(Constants!$N$4,TEXT(DATE(YEAR(H240)-(($I240/12)-1),MONTH(H240),DAY(H240)),"dd/mm/yyyy"),", ",Constants!$O$4,TEXT(DATE(YEAR(H240)-(($I240/12)-2),MONTH(H240),DAY(H240)),"dd/mm/yyyy"),", ",Constants!$P$4,TEXT($H240,"dd/mm/yyyy")),IF(($I240/12)=2,_xlfn.CONCAT(Constants!$N$3,TEXT(DATE(YEAR(H240)-(($I240/12)-1),MONTH(H240),DAY(H240)),"dd/mm/yyyy"),", ",Constants!$O$3,TEXT($H240,"dd/mm/yyyy")),IF(($I240/12)=1,_xlfn.CONCAT(Constants!$N$2,TEXT($H240,"dd/mm/yyyy")),"Update Constants"))))))),"")</f>
        <v/>
      </c>
      <c r="BC240" s="147" t="str">
        <f>_xlfn.IFNA(VALUE(INDEX(Producer!$K:$K,MATCH($D240,Producer!$A:$A,0))),"")</f>
        <v/>
      </c>
      <c r="BD240" s="147" t="str">
        <f>_xlfn.IFNA(INDEX(Producer!$I:$I,MATCH($D240,Producer!$A:$A,0)),"")</f>
        <v/>
      </c>
      <c r="BE240" s="147" t="str">
        <f t="shared" si="92"/>
        <v/>
      </c>
      <c r="BF240" s="147"/>
      <c r="BG240" s="147"/>
      <c r="BH240" s="151" t="str">
        <f>_xlfn.IFNA(INDEX(Constants!$B:$B,MATCH(BC240,Constants!A:A,0)),"")</f>
        <v/>
      </c>
      <c r="BI240" s="147" t="str">
        <f>IF(LEFT(B240,15)="Limited Company",Constants!$D$16,IFERROR(_xlfn.IFNA(IF(C240="Residential",IF(BK240&lt;75,INDEX(Constants!$B:$B,MATCH(VALUE(60)/100,Constants!$A:$A,0)),INDEX(Constants!$B:$B,MATCH(VALUE(BK240)/100,Constants!$A:$A,0))),IF(BK240&lt;60,INDEX(Constants!$C:$C,MATCH(VALUE(60)/100,Constants!$A:$A,0)),INDEX(Constants!$C:$C,MATCH(VALUE(BK240)/100,Constants!$A:$A,0)))),""),""))</f>
        <v/>
      </c>
      <c r="BJ240" s="147" t="str">
        <f t="shared" si="93"/>
        <v/>
      </c>
      <c r="BK240" s="147" t="str">
        <f>_xlfn.IFNA(VALUE(INDEX(Producer!$E:$E,MATCH($D240,Producer!$A:$A,0)))*100,"")</f>
        <v/>
      </c>
      <c r="BL240" s="146" t="str">
        <f>_xlfn.IFNA(IF(IFERROR(FIND("Part &amp; Part",B240),-10)&gt;0,"PP",IF(OR(LEFT(B240,25)="Residential Interest Only",INDEX(Producer!$P:$P,MATCH($D240,Producer!$A:$A,0))="IO",INDEX(Producer!$P:$P,MATCH($D240,Producer!$A:$A,0))="Retirement Interest Only"),"IO",IF($C240="BuyToLet","CI, IO","CI"))),"")</f>
        <v/>
      </c>
      <c r="BM240" s="152" t="str">
        <f>_xlfn.IFNA(IF(BL240="IO",100%,IF(AND(INDEX(Producer!$P:$P,MATCH($D240,Producer!$A:$A,0))="Residential Interest Only Part &amp; Part",BK240=75),80%,IF(C240="BuyToLet",100%,IF(BL240="Interest Only",100%,IF(AND(INDEX(Producer!$P:$P,MATCH($D240,Producer!$A:$A,0))="Residential Interest Only Part &amp; Part",BK240=60),100%,""))))),"")</f>
        <v/>
      </c>
      <c r="BN240" s="218" t="str">
        <f>_xlfn.IFNA(IF(VALUE(INDEX(Producer!$H:$H,MATCH($D240,Producer!$A:$A,0)))=0,"",VALUE(INDEX(Producer!$H:$H,MATCH($D240,Producer!$A:$A,0)))),"")</f>
        <v/>
      </c>
      <c r="BO240" s="153"/>
      <c r="BP240" s="153"/>
      <c r="BQ240" s="219" t="str">
        <f t="shared" si="94"/>
        <v/>
      </c>
      <c r="BR240" s="146"/>
      <c r="BS240" s="146"/>
      <c r="BT240" s="146"/>
      <c r="BU240" s="146"/>
      <c r="BV240" s="219" t="str">
        <f t="shared" si="95"/>
        <v/>
      </c>
      <c r="BW240" s="146"/>
      <c r="BX240" s="146"/>
      <c r="BY240" s="146" t="str">
        <f t="shared" si="96"/>
        <v/>
      </c>
      <c r="BZ240" s="146" t="str">
        <f t="shared" si="97"/>
        <v/>
      </c>
      <c r="CA240" s="146" t="str">
        <f t="shared" si="98"/>
        <v/>
      </c>
      <c r="CB240" s="146" t="str">
        <f t="shared" si="99"/>
        <v/>
      </c>
      <c r="CC240" s="146" t="str">
        <f>_xlfn.IFNA(IF(INDEX(Producer!$P:$P,MATCH($D240,Producer!$A:$A,0))="Help to Buy","Only available","No"),"")</f>
        <v/>
      </c>
      <c r="CD240" s="146" t="str">
        <f>_xlfn.IFNA(IF(INDEX(Producer!$P:$P,MATCH($D240,Producer!$A:$A,0))="Shared Ownership","Only available","No"),"")</f>
        <v/>
      </c>
      <c r="CE240" s="146" t="str">
        <f>_xlfn.IFNA(IF(INDEX(Producer!$P:$P,MATCH($D240,Producer!$A:$A,0))="Right to Buy","Only available","No"),"")</f>
        <v/>
      </c>
      <c r="CF240" s="146" t="str">
        <f t="shared" si="100"/>
        <v/>
      </c>
      <c r="CG240" s="146" t="str">
        <f>_xlfn.IFNA(IF(INDEX(Producer!$P:$P,MATCH($D240,Producer!$A:$A,0))="Retirement Interest Only","Only available","No"),"")</f>
        <v/>
      </c>
      <c r="CH240" s="146" t="str">
        <f t="shared" si="101"/>
        <v/>
      </c>
      <c r="CI240" s="146" t="str">
        <f>_xlfn.IFNA(IF(INDEX(Producer!$P:$P,MATCH($D240,Producer!$A:$A,0))="Intermediary Holiday Let","Only available","No"),"")</f>
        <v/>
      </c>
      <c r="CJ240" s="146" t="str">
        <f t="shared" si="102"/>
        <v/>
      </c>
      <c r="CK240" s="146" t="str">
        <f>_xlfn.IFNA(IF(OR(INDEX(Producer!$P:$P,MATCH($D240,Producer!$A:$A,0))="Intermediary Small HMO",INDEX(Producer!$P:$P,MATCH($D240,Producer!$A:$A,0))="Intermediary Large HMO"),"Only available","No"),"")</f>
        <v/>
      </c>
      <c r="CL240" s="146" t="str">
        <f t="shared" si="103"/>
        <v/>
      </c>
      <c r="CM240" s="146" t="str">
        <f t="shared" si="104"/>
        <v/>
      </c>
      <c r="CN240" s="146" t="str">
        <f t="shared" si="105"/>
        <v/>
      </c>
      <c r="CO240" s="146" t="str">
        <f t="shared" si="106"/>
        <v/>
      </c>
      <c r="CP240" s="146" t="str">
        <f t="shared" si="107"/>
        <v/>
      </c>
      <c r="CQ240" s="146" t="str">
        <f t="shared" si="108"/>
        <v/>
      </c>
      <c r="CR240" s="146" t="str">
        <f t="shared" si="109"/>
        <v/>
      </c>
      <c r="CS240" s="146" t="str">
        <f t="shared" si="110"/>
        <v/>
      </c>
      <c r="CT240" s="146" t="str">
        <f t="shared" si="111"/>
        <v/>
      </c>
      <c r="CU240" s="146"/>
    </row>
    <row r="241" spans="1:99" ht="16.399999999999999" customHeight="1" x14ac:dyDescent="0.35">
      <c r="A241" s="145" t="str">
        <f t="shared" si="84"/>
        <v/>
      </c>
      <c r="B241" s="145" t="str">
        <f>_xlfn.IFNA(_xlfn.CONCAT(INDEX(Producer!$P:$P,MATCH($D241,Producer!$A:$A,0))," ",IF(INDEX(Producer!$N:$N,MATCH($D241,Producer!$A:$A,0))="Yes","Green ",""),IF(AND(INDEX(Producer!$L:$L,MATCH($D241,Producer!$A:$A,0))="No",INDEX(Producer!$C:$C,MATCH($D241,Producer!$A:$A,0))="Fixed"),"Flexit ",""),INDEX(Producer!$B:$B,MATCH($D241,Producer!$A:$A,0))," Year ",INDEX(Producer!$C:$C,MATCH($D241,Producer!$A:$A,0))," ",VALUE(INDEX(Producer!$E:$E,MATCH($D241,Producer!$A:$A,0)))*100,"% LTV",IF(INDEX(Producer!$N:$N,MATCH($D241,Producer!$A:$A,0))="Yes"," (EPC A-C)","")," - ",IF(INDEX(Producer!$D:$D,MATCH($D241,Producer!$A:$A,0))="DLY","Daily","Annual")),"")</f>
        <v/>
      </c>
      <c r="C241" s="146" t="str">
        <f>_xlfn.IFNA(INDEX(Producer!$Q:$Q,MATCH($D241,Producer!$A:$A,0)),"")</f>
        <v/>
      </c>
      <c r="D241" s="146" t="str">
        <f>IFERROR(VALUE(MID(Producer!$R$2,IF($D240="",1/0,FIND(_xlfn.CONCAT($D239,$D240),Producer!$R$2)+10),5)),"")</f>
        <v/>
      </c>
      <c r="E241" s="146" t="str">
        <f t="shared" si="85"/>
        <v/>
      </c>
      <c r="F241" s="146"/>
      <c r="G241" s="147" t="str">
        <f>_xlfn.IFNA(VALUE(INDEX(Producer!$F:$F,MATCH($D241,Producer!$A:$A,0)))*100,"")</f>
        <v/>
      </c>
      <c r="H241" s="216" t="str">
        <f>_xlfn.IFNA(IFERROR(DATEVALUE(INDEX(Producer!$M:$M,MATCH($D241,Producer!$A:$A,0))),(INDEX(Producer!$M:$M,MATCH($D241,Producer!$A:$A,0)))),"")</f>
        <v/>
      </c>
      <c r="I241" s="217" t="str">
        <f>_xlfn.IFNA(VALUE(INDEX(Producer!$B:$B,MATCH($D241,Producer!$A:$A,0)))*12,"")</f>
        <v/>
      </c>
      <c r="J241" s="146" t="str">
        <f>_xlfn.IFNA(IF(C241="Residential",IF(VALUE(INDEX(Producer!$B:$B,MATCH($D241,Producer!$A:$A,0)))&lt;5,Constants!$C$10,""),IF(VALUE(INDEX(Producer!$B:$B,MATCH($D241,Producer!$A:$A,0)))&lt;5,Constants!$C$11,"")),"")</f>
        <v/>
      </c>
      <c r="K241" s="216" t="str">
        <f>_xlfn.IFNA(IF(($I241)&lt;60,DATE(YEAR(H241)+(5-VALUE(INDEX(Producer!$B:$B,MATCH($D241,Producer!$A:$A,0)))),MONTH(H241),DAY(H241)),""),"")</f>
        <v/>
      </c>
      <c r="L241" s="153" t="str">
        <f t="shared" si="86"/>
        <v/>
      </c>
      <c r="M241" s="146"/>
      <c r="N241" s="148"/>
      <c r="O241" s="148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  <c r="AD241" s="146"/>
      <c r="AE241" s="146"/>
      <c r="AF241" s="146"/>
      <c r="AG241" s="146"/>
      <c r="AH241" s="146"/>
      <c r="AI241" s="146"/>
      <c r="AJ241" s="146"/>
      <c r="AK241" s="146" t="str">
        <f>IF(D241="","",IF(C241="Residential",Constants!$B$10,Constants!$B$11))</f>
        <v/>
      </c>
      <c r="AL241" s="146" t="str">
        <f t="shared" si="87"/>
        <v/>
      </c>
      <c r="AM241" s="206" t="str">
        <f t="shared" si="88"/>
        <v/>
      </c>
      <c r="AN241" s="146" t="str">
        <f t="shared" si="89"/>
        <v/>
      </c>
      <c r="AO241" s="149" t="str">
        <f t="shared" si="90"/>
        <v/>
      </c>
      <c r="AP241" s="150" t="str">
        <f t="shared" si="91"/>
        <v/>
      </c>
      <c r="AQ241" s="146" t="str">
        <f>IFERROR(_xlfn.IFNA(IF($BA241="No",0,IF(INDEX(Constants!B:B,MATCH(($I241/12),Constants!$A:$A,0))=0,0,INDEX(Constants!B:B,MATCH(($I241/12),Constants!$A:$A,0)))),0),"")</f>
        <v/>
      </c>
      <c r="AR241" s="146" t="str">
        <f>IFERROR(_xlfn.IFNA(IF($BA241="No",0,IF(INDEX(Constants!C:C,MATCH(($I241/12),Constants!$A:$A,0))=0,0,INDEX(Constants!C:C,MATCH(($I241/12),Constants!$A:$A,0)))),0),"")</f>
        <v/>
      </c>
      <c r="AS241" s="146" t="str">
        <f>IFERROR(_xlfn.IFNA(IF($BA241="No",0,IF(INDEX(Constants!D:D,MATCH(($I241/12),Constants!$A:$A,0))=0,0,INDEX(Constants!D:D,MATCH(($I241/12),Constants!$A:$A,0)))),0),"")</f>
        <v/>
      </c>
      <c r="AT241" s="146" t="str">
        <f>IFERROR(_xlfn.IFNA(IF($BA241="No",0,IF(INDEX(Constants!E:E,MATCH(($I241/12),Constants!$A:$A,0))=0,0,INDEX(Constants!E:E,MATCH(($I241/12),Constants!$A:$A,0)))),0),"")</f>
        <v/>
      </c>
      <c r="AU241" s="146" t="str">
        <f>IFERROR(_xlfn.IFNA(IF($BA241="No",0,IF(INDEX(Constants!F:F,MATCH(($I241/12),Constants!$A:$A,0))=0,0,INDEX(Constants!F:F,MATCH(($I241/12),Constants!$A:$A,0)))),0),"")</f>
        <v/>
      </c>
      <c r="AV241" s="146" t="str">
        <f>IFERROR(_xlfn.IFNA(IF($BA241="No",0,IF(INDEX(Constants!G:G,MATCH(($I241/12),Constants!$A:$A,0))=0,0,INDEX(Constants!G:G,MATCH(($I241/12),Constants!$A:$A,0)))),0),"")</f>
        <v/>
      </c>
      <c r="AW241" s="146" t="str">
        <f>IFERROR(_xlfn.IFNA(IF($BA241="No",0,IF(INDEX(Constants!H:H,MATCH(($I241/12),Constants!$A:$A,0))=0,0,INDEX(Constants!H:H,MATCH(($I241/12),Constants!$A:$A,0)))),0),"")</f>
        <v/>
      </c>
      <c r="AX241" s="146" t="str">
        <f>IFERROR(_xlfn.IFNA(IF($BA241="No",0,IF(INDEX(Constants!I:I,MATCH(($I241/12),Constants!$A:$A,0))=0,0,INDEX(Constants!I:I,MATCH(($I241/12),Constants!$A:$A,0)))),0),"")</f>
        <v/>
      </c>
      <c r="AY241" s="146" t="str">
        <f>IFERROR(_xlfn.IFNA(IF($BA241="No",0,IF(INDEX(Constants!J:J,MATCH(($I241/12),Constants!$A:$A,0))=0,0,INDEX(Constants!J:J,MATCH(($I241/12),Constants!$A:$A,0)))),0),"")</f>
        <v/>
      </c>
      <c r="AZ241" s="146" t="str">
        <f>IFERROR(_xlfn.IFNA(IF($BA241="No",0,IF(INDEX(Constants!K:K,MATCH(($I241/12),Constants!$A:$A,0))=0,0,INDEX(Constants!K:K,MATCH(($I241/12),Constants!$A:$A,0)))),0),"")</f>
        <v/>
      </c>
      <c r="BA241" s="147" t="str">
        <f>_xlfn.IFNA(INDEX(Producer!$L:$L,MATCH($D241,Producer!$A:$A,0)),"")</f>
        <v/>
      </c>
      <c r="BB241" s="146" t="str">
        <f>IFERROR(IF(AQ241=0,"",IF(($I241/12)=15,_xlfn.CONCAT(Constants!$N$7,TEXT(DATE(YEAR(H241)-(($I241/12)-3),MONTH(H241),DAY(H241)),"dd/mm/yyyy"),", ",Constants!$P$7,TEXT(DATE(YEAR(H241)-(($I241/12)-8),MONTH(H241),DAY(H241)),"dd/mm/yyyy"),", ",Constants!$T$7,TEXT(DATE(YEAR(H241)-(($I241/12)-11),MONTH(H241),DAY(H241)),"dd/mm/yyyy"),", ",Constants!$V$7,TEXT(DATE(YEAR(H241)-(($I241/12)-13),MONTH(H241),DAY(H241)),"dd/mm/yyyy"),", ",Constants!$W$7,TEXT($H241,"dd/mm/yyyy")),IF(($I241/12)=10,_xlfn.CONCAT(Constants!$N$6,TEXT(DATE(YEAR(H241)-(($I241/12)-2),MONTH(H241),DAY(H241)),"dd/mm/yyyy"),", ",Constants!$P$6,TEXT(DATE(YEAR(H241)-(($I241/12)-6),MONTH(H241),DAY(H241)),"dd/mm/yyyy"),", ",Constants!$T$6,TEXT(DATE(YEAR(H241)-(($I241/12)-8),MONTH(H241),DAY(H241)),"dd/mm/yyyy"),", ",Constants!$V$6,TEXT(DATE(YEAR(H241)-(($I241/12)-9),MONTH(H241),DAY(H241)),"dd/mm/yyyy"),", ",Constants!$W$6,TEXT($H241,"dd/mm/yyyy")),IF(($I241/12)=5,_xlfn.CONCAT(Constants!$N$5,TEXT(DATE(YEAR(H241)-(($I241/12)-1),MONTH(H241),DAY(H241)),"dd/mm/yyyy"),", ",Constants!$O$5,TEXT(DATE(YEAR(H241)-(($I241/12)-2),MONTH(H241),DAY(H241)),"dd/mm/yyyy"),", ",Constants!$P$5,TEXT(DATE(YEAR(H241)-(($I241/12)-3),MONTH(H241),DAY(H241)),"dd/mm/yyyy"),", ",Constants!$Q$5,TEXT(DATE(YEAR(H241)-(($I241/12)-4),MONTH(H241),DAY(H241)),"dd/mm/yyyy"),", ",Constants!$R$5,TEXT($H241,"dd/mm/yyyy")),IF(($I241/12)=3,_xlfn.CONCAT(Constants!$N$4,TEXT(DATE(YEAR(H241)-(($I241/12)-1),MONTH(H241),DAY(H241)),"dd/mm/yyyy"),", ",Constants!$O$4,TEXT(DATE(YEAR(H241)-(($I241/12)-2),MONTH(H241),DAY(H241)),"dd/mm/yyyy"),", ",Constants!$P$4,TEXT($H241,"dd/mm/yyyy")),IF(($I241/12)=2,_xlfn.CONCAT(Constants!$N$3,TEXT(DATE(YEAR(H241)-(($I241/12)-1),MONTH(H241),DAY(H241)),"dd/mm/yyyy"),", ",Constants!$O$3,TEXT($H241,"dd/mm/yyyy")),IF(($I241/12)=1,_xlfn.CONCAT(Constants!$N$2,TEXT($H241,"dd/mm/yyyy")),"Update Constants"))))))),"")</f>
        <v/>
      </c>
      <c r="BC241" s="147" t="str">
        <f>_xlfn.IFNA(VALUE(INDEX(Producer!$K:$K,MATCH($D241,Producer!$A:$A,0))),"")</f>
        <v/>
      </c>
      <c r="BD241" s="147" t="str">
        <f>_xlfn.IFNA(INDEX(Producer!$I:$I,MATCH($D241,Producer!$A:$A,0)),"")</f>
        <v/>
      </c>
      <c r="BE241" s="147" t="str">
        <f t="shared" si="92"/>
        <v/>
      </c>
      <c r="BF241" s="147"/>
      <c r="BG241" s="147"/>
      <c r="BH241" s="151" t="str">
        <f>_xlfn.IFNA(INDEX(Constants!$B:$B,MATCH(BC241,Constants!A:A,0)),"")</f>
        <v/>
      </c>
      <c r="BI241" s="147" t="str">
        <f>IF(LEFT(B241,15)="Limited Company",Constants!$D$16,IFERROR(_xlfn.IFNA(IF(C241="Residential",IF(BK241&lt;75,INDEX(Constants!$B:$B,MATCH(VALUE(60)/100,Constants!$A:$A,0)),INDEX(Constants!$B:$B,MATCH(VALUE(BK241)/100,Constants!$A:$A,0))),IF(BK241&lt;60,INDEX(Constants!$C:$C,MATCH(VALUE(60)/100,Constants!$A:$A,0)),INDEX(Constants!$C:$C,MATCH(VALUE(BK241)/100,Constants!$A:$A,0)))),""),""))</f>
        <v/>
      </c>
      <c r="BJ241" s="147" t="str">
        <f t="shared" si="93"/>
        <v/>
      </c>
      <c r="BK241" s="147" t="str">
        <f>_xlfn.IFNA(VALUE(INDEX(Producer!$E:$E,MATCH($D241,Producer!$A:$A,0)))*100,"")</f>
        <v/>
      </c>
      <c r="BL241" s="146" t="str">
        <f>_xlfn.IFNA(IF(IFERROR(FIND("Part &amp; Part",B241),-10)&gt;0,"PP",IF(OR(LEFT(B241,25)="Residential Interest Only",INDEX(Producer!$P:$P,MATCH($D241,Producer!$A:$A,0))="IO",INDEX(Producer!$P:$P,MATCH($D241,Producer!$A:$A,0))="Retirement Interest Only"),"IO",IF($C241="BuyToLet","CI, IO","CI"))),"")</f>
        <v/>
      </c>
      <c r="BM241" s="152" t="str">
        <f>_xlfn.IFNA(IF(BL241="IO",100%,IF(AND(INDEX(Producer!$P:$P,MATCH($D241,Producer!$A:$A,0))="Residential Interest Only Part &amp; Part",BK241=75),80%,IF(C241="BuyToLet",100%,IF(BL241="Interest Only",100%,IF(AND(INDEX(Producer!$P:$P,MATCH($D241,Producer!$A:$A,0))="Residential Interest Only Part &amp; Part",BK241=60),100%,""))))),"")</f>
        <v/>
      </c>
      <c r="BN241" s="218" t="str">
        <f>_xlfn.IFNA(IF(VALUE(INDEX(Producer!$H:$H,MATCH($D241,Producer!$A:$A,0)))=0,"",VALUE(INDEX(Producer!$H:$H,MATCH($D241,Producer!$A:$A,0)))),"")</f>
        <v/>
      </c>
      <c r="BO241" s="153"/>
      <c r="BP241" s="153"/>
      <c r="BQ241" s="219" t="str">
        <f t="shared" si="94"/>
        <v/>
      </c>
      <c r="BR241" s="146"/>
      <c r="BS241" s="146"/>
      <c r="BT241" s="146"/>
      <c r="BU241" s="146"/>
      <c r="BV241" s="219" t="str">
        <f t="shared" si="95"/>
        <v/>
      </c>
      <c r="BW241" s="146"/>
      <c r="BX241" s="146"/>
      <c r="BY241" s="146" t="str">
        <f t="shared" si="96"/>
        <v/>
      </c>
      <c r="BZ241" s="146" t="str">
        <f t="shared" si="97"/>
        <v/>
      </c>
      <c r="CA241" s="146" t="str">
        <f t="shared" si="98"/>
        <v/>
      </c>
      <c r="CB241" s="146" t="str">
        <f t="shared" si="99"/>
        <v/>
      </c>
      <c r="CC241" s="146" t="str">
        <f>_xlfn.IFNA(IF(INDEX(Producer!$P:$P,MATCH($D241,Producer!$A:$A,0))="Help to Buy","Only available","No"),"")</f>
        <v/>
      </c>
      <c r="CD241" s="146" t="str">
        <f>_xlfn.IFNA(IF(INDEX(Producer!$P:$P,MATCH($D241,Producer!$A:$A,0))="Shared Ownership","Only available","No"),"")</f>
        <v/>
      </c>
      <c r="CE241" s="146" t="str">
        <f>_xlfn.IFNA(IF(INDEX(Producer!$P:$P,MATCH($D241,Producer!$A:$A,0))="Right to Buy","Only available","No"),"")</f>
        <v/>
      </c>
      <c r="CF241" s="146" t="str">
        <f t="shared" si="100"/>
        <v/>
      </c>
      <c r="CG241" s="146" t="str">
        <f>_xlfn.IFNA(IF(INDEX(Producer!$P:$P,MATCH($D241,Producer!$A:$A,0))="Retirement Interest Only","Only available","No"),"")</f>
        <v/>
      </c>
      <c r="CH241" s="146" t="str">
        <f t="shared" si="101"/>
        <v/>
      </c>
      <c r="CI241" s="146" t="str">
        <f>_xlfn.IFNA(IF(INDEX(Producer!$P:$P,MATCH($D241,Producer!$A:$A,0))="Intermediary Holiday Let","Only available","No"),"")</f>
        <v/>
      </c>
      <c r="CJ241" s="146" t="str">
        <f t="shared" si="102"/>
        <v/>
      </c>
      <c r="CK241" s="146" t="str">
        <f>_xlfn.IFNA(IF(OR(INDEX(Producer!$P:$P,MATCH($D241,Producer!$A:$A,0))="Intermediary Small HMO",INDEX(Producer!$P:$P,MATCH($D241,Producer!$A:$A,0))="Intermediary Large HMO"),"Only available","No"),"")</f>
        <v/>
      </c>
      <c r="CL241" s="146" t="str">
        <f t="shared" si="103"/>
        <v/>
      </c>
      <c r="CM241" s="146" t="str">
        <f t="shared" si="104"/>
        <v/>
      </c>
      <c r="CN241" s="146" t="str">
        <f t="shared" si="105"/>
        <v/>
      </c>
      <c r="CO241" s="146" t="str">
        <f t="shared" si="106"/>
        <v/>
      </c>
      <c r="CP241" s="146" t="str">
        <f t="shared" si="107"/>
        <v/>
      </c>
      <c r="CQ241" s="146" t="str">
        <f t="shared" si="108"/>
        <v/>
      </c>
      <c r="CR241" s="146" t="str">
        <f t="shared" si="109"/>
        <v/>
      </c>
      <c r="CS241" s="146" t="str">
        <f t="shared" si="110"/>
        <v/>
      </c>
      <c r="CT241" s="146" t="str">
        <f t="shared" si="111"/>
        <v/>
      </c>
      <c r="CU241" s="146"/>
    </row>
    <row r="242" spans="1:99" ht="16.399999999999999" customHeight="1" x14ac:dyDescent="0.35">
      <c r="A242" s="145" t="str">
        <f t="shared" si="84"/>
        <v/>
      </c>
      <c r="B242" s="145" t="str">
        <f>_xlfn.IFNA(_xlfn.CONCAT(INDEX(Producer!$P:$P,MATCH($D242,Producer!$A:$A,0))," ",IF(INDEX(Producer!$N:$N,MATCH($D242,Producer!$A:$A,0))="Yes","Green ",""),IF(AND(INDEX(Producer!$L:$L,MATCH($D242,Producer!$A:$A,0))="No",INDEX(Producer!$C:$C,MATCH($D242,Producer!$A:$A,0))="Fixed"),"Flexit ",""),INDEX(Producer!$B:$B,MATCH($D242,Producer!$A:$A,0))," Year ",INDEX(Producer!$C:$C,MATCH($D242,Producer!$A:$A,0))," ",VALUE(INDEX(Producer!$E:$E,MATCH($D242,Producer!$A:$A,0)))*100,"% LTV",IF(INDEX(Producer!$N:$N,MATCH($D242,Producer!$A:$A,0))="Yes"," (EPC A-C)","")," - ",IF(INDEX(Producer!$D:$D,MATCH($D242,Producer!$A:$A,0))="DLY","Daily","Annual")),"")</f>
        <v/>
      </c>
      <c r="C242" s="146" t="str">
        <f>_xlfn.IFNA(INDEX(Producer!$Q:$Q,MATCH($D242,Producer!$A:$A,0)),"")</f>
        <v/>
      </c>
      <c r="D242" s="146" t="str">
        <f>IFERROR(VALUE(MID(Producer!$R$2,IF($D241="",1/0,FIND(_xlfn.CONCAT($D240,$D241),Producer!$R$2)+10),5)),"")</f>
        <v/>
      </c>
      <c r="E242" s="146" t="str">
        <f t="shared" si="85"/>
        <v/>
      </c>
      <c r="F242" s="146"/>
      <c r="G242" s="147" t="str">
        <f>_xlfn.IFNA(VALUE(INDEX(Producer!$F:$F,MATCH($D242,Producer!$A:$A,0)))*100,"")</f>
        <v/>
      </c>
      <c r="H242" s="216" t="str">
        <f>_xlfn.IFNA(IFERROR(DATEVALUE(INDEX(Producer!$M:$M,MATCH($D242,Producer!$A:$A,0))),(INDEX(Producer!$M:$M,MATCH($D242,Producer!$A:$A,0)))),"")</f>
        <v/>
      </c>
      <c r="I242" s="217" t="str">
        <f>_xlfn.IFNA(VALUE(INDEX(Producer!$B:$B,MATCH($D242,Producer!$A:$A,0)))*12,"")</f>
        <v/>
      </c>
      <c r="J242" s="146" t="str">
        <f>_xlfn.IFNA(IF(C242="Residential",IF(VALUE(INDEX(Producer!$B:$B,MATCH($D242,Producer!$A:$A,0)))&lt;5,Constants!$C$10,""),IF(VALUE(INDEX(Producer!$B:$B,MATCH($D242,Producer!$A:$A,0)))&lt;5,Constants!$C$11,"")),"")</f>
        <v/>
      </c>
      <c r="K242" s="216" t="str">
        <f>_xlfn.IFNA(IF(($I242)&lt;60,DATE(YEAR(H242)+(5-VALUE(INDEX(Producer!$B:$B,MATCH($D242,Producer!$A:$A,0)))),MONTH(H242),DAY(H242)),""),"")</f>
        <v/>
      </c>
      <c r="L242" s="153" t="str">
        <f t="shared" si="86"/>
        <v/>
      </c>
      <c r="M242" s="146"/>
      <c r="N242" s="148"/>
      <c r="O242" s="148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6"/>
      <c r="AK242" s="146" t="str">
        <f>IF(D242="","",IF(C242="Residential",Constants!$B$10,Constants!$B$11))</f>
        <v/>
      </c>
      <c r="AL242" s="146" t="str">
        <f t="shared" si="87"/>
        <v/>
      </c>
      <c r="AM242" s="206" t="str">
        <f t="shared" si="88"/>
        <v/>
      </c>
      <c r="AN242" s="146" t="str">
        <f t="shared" si="89"/>
        <v/>
      </c>
      <c r="AO242" s="149" t="str">
        <f t="shared" si="90"/>
        <v/>
      </c>
      <c r="AP242" s="150" t="str">
        <f t="shared" si="91"/>
        <v/>
      </c>
      <c r="AQ242" s="146" t="str">
        <f>IFERROR(_xlfn.IFNA(IF($BA242="No",0,IF(INDEX(Constants!B:B,MATCH(($I242/12),Constants!$A:$A,0))=0,0,INDEX(Constants!B:B,MATCH(($I242/12),Constants!$A:$A,0)))),0),"")</f>
        <v/>
      </c>
      <c r="AR242" s="146" t="str">
        <f>IFERROR(_xlfn.IFNA(IF($BA242="No",0,IF(INDEX(Constants!C:C,MATCH(($I242/12),Constants!$A:$A,0))=0,0,INDEX(Constants!C:C,MATCH(($I242/12),Constants!$A:$A,0)))),0),"")</f>
        <v/>
      </c>
      <c r="AS242" s="146" t="str">
        <f>IFERROR(_xlfn.IFNA(IF($BA242="No",0,IF(INDEX(Constants!D:D,MATCH(($I242/12),Constants!$A:$A,0))=0,0,INDEX(Constants!D:D,MATCH(($I242/12),Constants!$A:$A,0)))),0),"")</f>
        <v/>
      </c>
      <c r="AT242" s="146" t="str">
        <f>IFERROR(_xlfn.IFNA(IF($BA242="No",0,IF(INDEX(Constants!E:E,MATCH(($I242/12),Constants!$A:$A,0))=0,0,INDEX(Constants!E:E,MATCH(($I242/12),Constants!$A:$A,0)))),0),"")</f>
        <v/>
      </c>
      <c r="AU242" s="146" t="str">
        <f>IFERROR(_xlfn.IFNA(IF($BA242="No",0,IF(INDEX(Constants!F:F,MATCH(($I242/12),Constants!$A:$A,0))=0,0,INDEX(Constants!F:F,MATCH(($I242/12),Constants!$A:$A,0)))),0),"")</f>
        <v/>
      </c>
      <c r="AV242" s="146" t="str">
        <f>IFERROR(_xlfn.IFNA(IF($BA242="No",0,IF(INDEX(Constants!G:G,MATCH(($I242/12),Constants!$A:$A,0))=0,0,INDEX(Constants!G:G,MATCH(($I242/12),Constants!$A:$A,0)))),0),"")</f>
        <v/>
      </c>
      <c r="AW242" s="146" t="str">
        <f>IFERROR(_xlfn.IFNA(IF($BA242="No",0,IF(INDEX(Constants!H:H,MATCH(($I242/12),Constants!$A:$A,0))=0,0,INDEX(Constants!H:H,MATCH(($I242/12),Constants!$A:$A,0)))),0),"")</f>
        <v/>
      </c>
      <c r="AX242" s="146" t="str">
        <f>IFERROR(_xlfn.IFNA(IF($BA242="No",0,IF(INDEX(Constants!I:I,MATCH(($I242/12),Constants!$A:$A,0))=0,0,INDEX(Constants!I:I,MATCH(($I242/12),Constants!$A:$A,0)))),0),"")</f>
        <v/>
      </c>
      <c r="AY242" s="146" t="str">
        <f>IFERROR(_xlfn.IFNA(IF($BA242="No",0,IF(INDEX(Constants!J:J,MATCH(($I242/12),Constants!$A:$A,0))=0,0,INDEX(Constants!J:J,MATCH(($I242/12),Constants!$A:$A,0)))),0),"")</f>
        <v/>
      </c>
      <c r="AZ242" s="146" t="str">
        <f>IFERROR(_xlfn.IFNA(IF($BA242="No",0,IF(INDEX(Constants!K:K,MATCH(($I242/12),Constants!$A:$A,0))=0,0,INDEX(Constants!K:K,MATCH(($I242/12),Constants!$A:$A,0)))),0),"")</f>
        <v/>
      </c>
      <c r="BA242" s="147" t="str">
        <f>_xlfn.IFNA(INDEX(Producer!$L:$L,MATCH($D242,Producer!$A:$A,0)),"")</f>
        <v/>
      </c>
      <c r="BB242" s="146" t="str">
        <f>IFERROR(IF(AQ242=0,"",IF(($I242/12)=15,_xlfn.CONCAT(Constants!$N$7,TEXT(DATE(YEAR(H242)-(($I242/12)-3),MONTH(H242),DAY(H242)),"dd/mm/yyyy"),", ",Constants!$P$7,TEXT(DATE(YEAR(H242)-(($I242/12)-8),MONTH(H242),DAY(H242)),"dd/mm/yyyy"),", ",Constants!$T$7,TEXT(DATE(YEAR(H242)-(($I242/12)-11),MONTH(H242),DAY(H242)),"dd/mm/yyyy"),", ",Constants!$V$7,TEXT(DATE(YEAR(H242)-(($I242/12)-13),MONTH(H242),DAY(H242)),"dd/mm/yyyy"),", ",Constants!$W$7,TEXT($H242,"dd/mm/yyyy")),IF(($I242/12)=10,_xlfn.CONCAT(Constants!$N$6,TEXT(DATE(YEAR(H242)-(($I242/12)-2),MONTH(H242),DAY(H242)),"dd/mm/yyyy"),", ",Constants!$P$6,TEXT(DATE(YEAR(H242)-(($I242/12)-6),MONTH(H242),DAY(H242)),"dd/mm/yyyy"),", ",Constants!$T$6,TEXT(DATE(YEAR(H242)-(($I242/12)-8),MONTH(H242),DAY(H242)),"dd/mm/yyyy"),", ",Constants!$V$6,TEXT(DATE(YEAR(H242)-(($I242/12)-9),MONTH(H242),DAY(H242)),"dd/mm/yyyy"),", ",Constants!$W$6,TEXT($H242,"dd/mm/yyyy")),IF(($I242/12)=5,_xlfn.CONCAT(Constants!$N$5,TEXT(DATE(YEAR(H242)-(($I242/12)-1),MONTH(H242),DAY(H242)),"dd/mm/yyyy"),", ",Constants!$O$5,TEXT(DATE(YEAR(H242)-(($I242/12)-2),MONTH(H242),DAY(H242)),"dd/mm/yyyy"),", ",Constants!$P$5,TEXT(DATE(YEAR(H242)-(($I242/12)-3),MONTH(H242),DAY(H242)),"dd/mm/yyyy"),", ",Constants!$Q$5,TEXT(DATE(YEAR(H242)-(($I242/12)-4),MONTH(H242),DAY(H242)),"dd/mm/yyyy"),", ",Constants!$R$5,TEXT($H242,"dd/mm/yyyy")),IF(($I242/12)=3,_xlfn.CONCAT(Constants!$N$4,TEXT(DATE(YEAR(H242)-(($I242/12)-1),MONTH(H242),DAY(H242)),"dd/mm/yyyy"),", ",Constants!$O$4,TEXT(DATE(YEAR(H242)-(($I242/12)-2),MONTH(H242),DAY(H242)),"dd/mm/yyyy"),", ",Constants!$P$4,TEXT($H242,"dd/mm/yyyy")),IF(($I242/12)=2,_xlfn.CONCAT(Constants!$N$3,TEXT(DATE(YEAR(H242)-(($I242/12)-1),MONTH(H242),DAY(H242)),"dd/mm/yyyy"),", ",Constants!$O$3,TEXT($H242,"dd/mm/yyyy")),IF(($I242/12)=1,_xlfn.CONCAT(Constants!$N$2,TEXT($H242,"dd/mm/yyyy")),"Update Constants"))))))),"")</f>
        <v/>
      </c>
      <c r="BC242" s="147" t="str">
        <f>_xlfn.IFNA(VALUE(INDEX(Producer!$K:$K,MATCH($D242,Producer!$A:$A,0))),"")</f>
        <v/>
      </c>
      <c r="BD242" s="147" t="str">
        <f>_xlfn.IFNA(INDEX(Producer!$I:$I,MATCH($D242,Producer!$A:$A,0)),"")</f>
        <v/>
      </c>
      <c r="BE242" s="147" t="str">
        <f t="shared" si="92"/>
        <v/>
      </c>
      <c r="BF242" s="147"/>
      <c r="BG242" s="147"/>
      <c r="BH242" s="151" t="str">
        <f>_xlfn.IFNA(INDEX(Constants!$B:$B,MATCH(BC242,Constants!A:A,0)),"")</f>
        <v/>
      </c>
      <c r="BI242" s="147" t="str">
        <f>IF(LEFT(B242,15)="Limited Company",Constants!$D$16,IFERROR(_xlfn.IFNA(IF(C242="Residential",IF(BK242&lt;75,INDEX(Constants!$B:$B,MATCH(VALUE(60)/100,Constants!$A:$A,0)),INDEX(Constants!$B:$B,MATCH(VALUE(BK242)/100,Constants!$A:$A,0))),IF(BK242&lt;60,INDEX(Constants!$C:$C,MATCH(VALUE(60)/100,Constants!$A:$A,0)),INDEX(Constants!$C:$C,MATCH(VALUE(BK242)/100,Constants!$A:$A,0)))),""),""))</f>
        <v/>
      </c>
      <c r="BJ242" s="147" t="str">
        <f t="shared" si="93"/>
        <v/>
      </c>
      <c r="BK242" s="147" t="str">
        <f>_xlfn.IFNA(VALUE(INDEX(Producer!$E:$E,MATCH($D242,Producer!$A:$A,0)))*100,"")</f>
        <v/>
      </c>
      <c r="BL242" s="146" t="str">
        <f>_xlfn.IFNA(IF(IFERROR(FIND("Part &amp; Part",B242),-10)&gt;0,"PP",IF(OR(LEFT(B242,25)="Residential Interest Only",INDEX(Producer!$P:$P,MATCH($D242,Producer!$A:$A,0))="IO",INDEX(Producer!$P:$P,MATCH($D242,Producer!$A:$A,0))="Retirement Interest Only"),"IO",IF($C242="BuyToLet","CI, IO","CI"))),"")</f>
        <v/>
      </c>
      <c r="BM242" s="152" t="str">
        <f>_xlfn.IFNA(IF(BL242="IO",100%,IF(AND(INDEX(Producer!$P:$P,MATCH($D242,Producer!$A:$A,0))="Residential Interest Only Part &amp; Part",BK242=75),80%,IF(C242="BuyToLet",100%,IF(BL242="Interest Only",100%,IF(AND(INDEX(Producer!$P:$P,MATCH($D242,Producer!$A:$A,0))="Residential Interest Only Part &amp; Part",BK242=60),100%,""))))),"")</f>
        <v/>
      </c>
      <c r="BN242" s="218" t="str">
        <f>_xlfn.IFNA(IF(VALUE(INDEX(Producer!$H:$H,MATCH($D242,Producer!$A:$A,0)))=0,"",VALUE(INDEX(Producer!$H:$H,MATCH($D242,Producer!$A:$A,0)))),"")</f>
        <v/>
      </c>
      <c r="BO242" s="153"/>
      <c r="BP242" s="153"/>
      <c r="BQ242" s="219" t="str">
        <f t="shared" si="94"/>
        <v/>
      </c>
      <c r="BR242" s="146"/>
      <c r="BS242" s="146"/>
      <c r="BT242" s="146"/>
      <c r="BU242" s="146"/>
      <c r="BV242" s="219" t="str">
        <f t="shared" si="95"/>
        <v/>
      </c>
      <c r="BW242" s="146"/>
      <c r="BX242" s="146"/>
      <c r="BY242" s="146" t="str">
        <f t="shared" si="96"/>
        <v/>
      </c>
      <c r="BZ242" s="146" t="str">
        <f t="shared" si="97"/>
        <v/>
      </c>
      <c r="CA242" s="146" t="str">
        <f t="shared" si="98"/>
        <v/>
      </c>
      <c r="CB242" s="146" t="str">
        <f t="shared" si="99"/>
        <v/>
      </c>
      <c r="CC242" s="146" t="str">
        <f>_xlfn.IFNA(IF(INDEX(Producer!$P:$P,MATCH($D242,Producer!$A:$A,0))="Help to Buy","Only available","No"),"")</f>
        <v/>
      </c>
      <c r="CD242" s="146" t="str">
        <f>_xlfn.IFNA(IF(INDEX(Producer!$P:$P,MATCH($D242,Producer!$A:$A,0))="Shared Ownership","Only available","No"),"")</f>
        <v/>
      </c>
      <c r="CE242" s="146" t="str">
        <f>_xlfn.IFNA(IF(INDEX(Producer!$P:$P,MATCH($D242,Producer!$A:$A,0))="Right to Buy","Only available","No"),"")</f>
        <v/>
      </c>
      <c r="CF242" s="146" t="str">
        <f t="shared" si="100"/>
        <v/>
      </c>
      <c r="CG242" s="146" t="str">
        <f>_xlfn.IFNA(IF(INDEX(Producer!$P:$P,MATCH($D242,Producer!$A:$A,0))="Retirement Interest Only","Only available","No"),"")</f>
        <v/>
      </c>
      <c r="CH242" s="146" t="str">
        <f t="shared" si="101"/>
        <v/>
      </c>
      <c r="CI242" s="146" t="str">
        <f>_xlfn.IFNA(IF(INDEX(Producer!$P:$P,MATCH($D242,Producer!$A:$A,0))="Intermediary Holiday Let","Only available","No"),"")</f>
        <v/>
      </c>
      <c r="CJ242" s="146" t="str">
        <f t="shared" si="102"/>
        <v/>
      </c>
      <c r="CK242" s="146" t="str">
        <f>_xlfn.IFNA(IF(OR(INDEX(Producer!$P:$P,MATCH($D242,Producer!$A:$A,0))="Intermediary Small HMO",INDEX(Producer!$P:$P,MATCH($D242,Producer!$A:$A,0))="Intermediary Large HMO"),"Only available","No"),"")</f>
        <v/>
      </c>
      <c r="CL242" s="146" t="str">
        <f t="shared" si="103"/>
        <v/>
      </c>
      <c r="CM242" s="146" t="str">
        <f t="shared" si="104"/>
        <v/>
      </c>
      <c r="CN242" s="146" t="str">
        <f t="shared" si="105"/>
        <v/>
      </c>
      <c r="CO242" s="146" t="str">
        <f t="shared" si="106"/>
        <v/>
      </c>
      <c r="CP242" s="146" t="str">
        <f t="shared" si="107"/>
        <v/>
      </c>
      <c r="CQ242" s="146" t="str">
        <f t="shared" si="108"/>
        <v/>
      </c>
      <c r="CR242" s="146" t="str">
        <f t="shared" si="109"/>
        <v/>
      </c>
      <c r="CS242" s="146" t="str">
        <f t="shared" si="110"/>
        <v/>
      </c>
      <c r="CT242" s="146" t="str">
        <f t="shared" si="111"/>
        <v/>
      </c>
      <c r="CU242" s="146"/>
    </row>
    <row r="243" spans="1:99" ht="16.399999999999999" customHeight="1" x14ac:dyDescent="0.35">
      <c r="A243" s="145" t="str">
        <f t="shared" si="84"/>
        <v/>
      </c>
      <c r="B243" s="145" t="str">
        <f>_xlfn.IFNA(_xlfn.CONCAT(INDEX(Producer!$P:$P,MATCH($D243,Producer!$A:$A,0))," ",IF(INDEX(Producer!$N:$N,MATCH($D243,Producer!$A:$A,0))="Yes","Green ",""),IF(AND(INDEX(Producer!$L:$L,MATCH($D243,Producer!$A:$A,0))="No",INDEX(Producer!$C:$C,MATCH($D243,Producer!$A:$A,0))="Fixed"),"Flexit ",""),INDEX(Producer!$B:$B,MATCH($D243,Producer!$A:$A,0))," Year ",INDEX(Producer!$C:$C,MATCH($D243,Producer!$A:$A,0))," ",VALUE(INDEX(Producer!$E:$E,MATCH($D243,Producer!$A:$A,0)))*100,"% LTV",IF(INDEX(Producer!$N:$N,MATCH($D243,Producer!$A:$A,0))="Yes"," (EPC A-C)","")," - ",IF(INDEX(Producer!$D:$D,MATCH($D243,Producer!$A:$A,0))="DLY","Daily","Annual")),"")</f>
        <v/>
      </c>
      <c r="C243" s="146" t="str">
        <f>_xlfn.IFNA(INDEX(Producer!$Q:$Q,MATCH($D243,Producer!$A:$A,0)),"")</f>
        <v/>
      </c>
      <c r="D243" s="146" t="str">
        <f>IFERROR(VALUE(MID(Producer!$R$2,IF($D242="",1/0,FIND(_xlfn.CONCAT($D241,$D242),Producer!$R$2)+10),5)),"")</f>
        <v/>
      </c>
      <c r="E243" s="146" t="str">
        <f t="shared" si="85"/>
        <v/>
      </c>
      <c r="F243" s="146"/>
      <c r="G243" s="147" t="str">
        <f>_xlfn.IFNA(VALUE(INDEX(Producer!$F:$F,MATCH($D243,Producer!$A:$A,0)))*100,"")</f>
        <v/>
      </c>
      <c r="H243" s="216" t="str">
        <f>_xlfn.IFNA(IFERROR(DATEVALUE(INDEX(Producer!$M:$M,MATCH($D243,Producer!$A:$A,0))),(INDEX(Producer!$M:$M,MATCH($D243,Producer!$A:$A,0)))),"")</f>
        <v/>
      </c>
      <c r="I243" s="217" t="str">
        <f>_xlfn.IFNA(VALUE(INDEX(Producer!$B:$B,MATCH($D243,Producer!$A:$A,0)))*12,"")</f>
        <v/>
      </c>
      <c r="J243" s="146" t="str">
        <f>_xlfn.IFNA(IF(C243="Residential",IF(VALUE(INDEX(Producer!$B:$B,MATCH($D243,Producer!$A:$A,0)))&lt;5,Constants!$C$10,""),IF(VALUE(INDEX(Producer!$B:$B,MATCH($D243,Producer!$A:$A,0)))&lt;5,Constants!$C$11,"")),"")</f>
        <v/>
      </c>
      <c r="K243" s="216" t="str">
        <f>_xlfn.IFNA(IF(($I243)&lt;60,DATE(YEAR(H243)+(5-VALUE(INDEX(Producer!$B:$B,MATCH($D243,Producer!$A:$A,0)))),MONTH(H243),DAY(H243)),""),"")</f>
        <v/>
      </c>
      <c r="L243" s="153" t="str">
        <f t="shared" si="86"/>
        <v/>
      </c>
      <c r="M243" s="146"/>
      <c r="N243" s="148"/>
      <c r="O243" s="148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6"/>
      <c r="AK243" s="146" t="str">
        <f>IF(D243="","",IF(C243="Residential",Constants!$B$10,Constants!$B$11))</f>
        <v/>
      </c>
      <c r="AL243" s="146" t="str">
        <f t="shared" si="87"/>
        <v/>
      </c>
      <c r="AM243" s="206" t="str">
        <f t="shared" si="88"/>
        <v/>
      </c>
      <c r="AN243" s="146" t="str">
        <f t="shared" si="89"/>
        <v/>
      </c>
      <c r="AO243" s="149" t="str">
        <f t="shared" si="90"/>
        <v/>
      </c>
      <c r="AP243" s="150" t="str">
        <f t="shared" si="91"/>
        <v/>
      </c>
      <c r="AQ243" s="146" t="str">
        <f>IFERROR(_xlfn.IFNA(IF($BA243="No",0,IF(INDEX(Constants!B:B,MATCH(($I243/12),Constants!$A:$A,0))=0,0,INDEX(Constants!B:B,MATCH(($I243/12),Constants!$A:$A,0)))),0),"")</f>
        <v/>
      </c>
      <c r="AR243" s="146" t="str">
        <f>IFERROR(_xlfn.IFNA(IF($BA243="No",0,IF(INDEX(Constants!C:C,MATCH(($I243/12),Constants!$A:$A,0))=0,0,INDEX(Constants!C:C,MATCH(($I243/12),Constants!$A:$A,0)))),0),"")</f>
        <v/>
      </c>
      <c r="AS243" s="146" t="str">
        <f>IFERROR(_xlfn.IFNA(IF($BA243="No",0,IF(INDEX(Constants!D:D,MATCH(($I243/12),Constants!$A:$A,0))=0,0,INDEX(Constants!D:D,MATCH(($I243/12),Constants!$A:$A,0)))),0),"")</f>
        <v/>
      </c>
      <c r="AT243" s="146" t="str">
        <f>IFERROR(_xlfn.IFNA(IF($BA243="No",0,IF(INDEX(Constants!E:E,MATCH(($I243/12),Constants!$A:$A,0))=0,0,INDEX(Constants!E:E,MATCH(($I243/12),Constants!$A:$A,0)))),0),"")</f>
        <v/>
      </c>
      <c r="AU243" s="146" t="str">
        <f>IFERROR(_xlfn.IFNA(IF($BA243="No",0,IF(INDEX(Constants!F:F,MATCH(($I243/12),Constants!$A:$A,0))=0,0,INDEX(Constants!F:F,MATCH(($I243/12),Constants!$A:$A,0)))),0),"")</f>
        <v/>
      </c>
      <c r="AV243" s="146" t="str">
        <f>IFERROR(_xlfn.IFNA(IF($BA243="No",0,IF(INDEX(Constants!G:G,MATCH(($I243/12),Constants!$A:$A,0))=0,0,INDEX(Constants!G:G,MATCH(($I243/12),Constants!$A:$A,0)))),0),"")</f>
        <v/>
      </c>
      <c r="AW243" s="146" t="str">
        <f>IFERROR(_xlfn.IFNA(IF($BA243="No",0,IF(INDEX(Constants!H:H,MATCH(($I243/12),Constants!$A:$A,0))=0,0,INDEX(Constants!H:H,MATCH(($I243/12),Constants!$A:$A,0)))),0),"")</f>
        <v/>
      </c>
      <c r="AX243" s="146" t="str">
        <f>IFERROR(_xlfn.IFNA(IF($BA243="No",0,IF(INDEX(Constants!I:I,MATCH(($I243/12),Constants!$A:$A,0))=0,0,INDEX(Constants!I:I,MATCH(($I243/12),Constants!$A:$A,0)))),0),"")</f>
        <v/>
      </c>
      <c r="AY243" s="146" t="str">
        <f>IFERROR(_xlfn.IFNA(IF($BA243="No",0,IF(INDEX(Constants!J:J,MATCH(($I243/12),Constants!$A:$A,0))=0,0,INDEX(Constants!J:J,MATCH(($I243/12),Constants!$A:$A,0)))),0),"")</f>
        <v/>
      </c>
      <c r="AZ243" s="146" t="str">
        <f>IFERROR(_xlfn.IFNA(IF($BA243="No",0,IF(INDEX(Constants!K:K,MATCH(($I243/12),Constants!$A:$A,0))=0,0,INDEX(Constants!K:K,MATCH(($I243/12),Constants!$A:$A,0)))),0),"")</f>
        <v/>
      </c>
      <c r="BA243" s="147" t="str">
        <f>_xlfn.IFNA(INDEX(Producer!$L:$L,MATCH($D243,Producer!$A:$A,0)),"")</f>
        <v/>
      </c>
      <c r="BB243" s="146" t="str">
        <f>IFERROR(IF(AQ243=0,"",IF(($I243/12)=15,_xlfn.CONCAT(Constants!$N$7,TEXT(DATE(YEAR(H243)-(($I243/12)-3),MONTH(H243),DAY(H243)),"dd/mm/yyyy"),", ",Constants!$P$7,TEXT(DATE(YEAR(H243)-(($I243/12)-8),MONTH(H243),DAY(H243)),"dd/mm/yyyy"),", ",Constants!$T$7,TEXT(DATE(YEAR(H243)-(($I243/12)-11),MONTH(H243),DAY(H243)),"dd/mm/yyyy"),", ",Constants!$V$7,TEXT(DATE(YEAR(H243)-(($I243/12)-13),MONTH(H243),DAY(H243)),"dd/mm/yyyy"),", ",Constants!$W$7,TEXT($H243,"dd/mm/yyyy")),IF(($I243/12)=10,_xlfn.CONCAT(Constants!$N$6,TEXT(DATE(YEAR(H243)-(($I243/12)-2),MONTH(H243),DAY(H243)),"dd/mm/yyyy"),", ",Constants!$P$6,TEXT(DATE(YEAR(H243)-(($I243/12)-6),MONTH(H243),DAY(H243)),"dd/mm/yyyy"),", ",Constants!$T$6,TEXT(DATE(YEAR(H243)-(($I243/12)-8),MONTH(H243),DAY(H243)),"dd/mm/yyyy"),", ",Constants!$V$6,TEXT(DATE(YEAR(H243)-(($I243/12)-9),MONTH(H243),DAY(H243)),"dd/mm/yyyy"),", ",Constants!$W$6,TEXT($H243,"dd/mm/yyyy")),IF(($I243/12)=5,_xlfn.CONCAT(Constants!$N$5,TEXT(DATE(YEAR(H243)-(($I243/12)-1),MONTH(H243),DAY(H243)),"dd/mm/yyyy"),", ",Constants!$O$5,TEXT(DATE(YEAR(H243)-(($I243/12)-2),MONTH(H243),DAY(H243)),"dd/mm/yyyy"),", ",Constants!$P$5,TEXT(DATE(YEAR(H243)-(($I243/12)-3),MONTH(H243),DAY(H243)),"dd/mm/yyyy"),", ",Constants!$Q$5,TEXT(DATE(YEAR(H243)-(($I243/12)-4),MONTH(H243),DAY(H243)),"dd/mm/yyyy"),", ",Constants!$R$5,TEXT($H243,"dd/mm/yyyy")),IF(($I243/12)=3,_xlfn.CONCAT(Constants!$N$4,TEXT(DATE(YEAR(H243)-(($I243/12)-1),MONTH(H243),DAY(H243)),"dd/mm/yyyy"),", ",Constants!$O$4,TEXT(DATE(YEAR(H243)-(($I243/12)-2),MONTH(H243),DAY(H243)),"dd/mm/yyyy"),", ",Constants!$P$4,TEXT($H243,"dd/mm/yyyy")),IF(($I243/12)=2,_xlfn.CONCAT(Constants!$N$3,TEXT(DATE(YEAR(H243)-(($I243/12)-1),MONTH(H243),DAY(H243)),"dd/mm/yyyy"),", ",Constants!$O$3,TEXT($H243,"dd/mm/yyyy")),IF(($I243/12)=1,_xlfn.CONCAT(Constants!$N$2,TEXT($H243,"dd/mm/yyyy")),"Update Constants"))))))),"")</f>
        <v/>
      </c>
      <c r="BC243" s="147" t="str">
        <f>_xlfn.IFNA(VALUE(INDEX(Producer!$K:$K,MATCH($D243,Producer!$A:$A,0))),"")</f>
        <v/>
      </c>
      <c r="BD243" s="147" t="str">
        <f>_xlfn.IFNA(INDEX(Producer!$I:$I,MATCH($D243,Producer!$A:$A,0)),"")</f>
        <v/>
      </c>
      <c r="BE243" s="147" t="str">
        <f t="shared" si="92"/>
        <v/>
      </c>
      <c r="BF243" s="147"/>
      <c r="BG243" s="147"/>
      <c r="BH243" s="151" t="str">
        <f>_xlfn.IFNA(INDEX(Constants!$B:$B,MATCH(BC243,Constants!A:A,0)),"")</f>
        <v/>
      </c>
      <c r="BI243" s="147" t="str">
        <f>IF(LEFT(B243,15)="Limited Company",Constants!$D$16,IFERROR(_xlfn.IFNA(IF(C243="Residential",IF(BK243&lt;75,INDEX(Constants!$B:$B,MATCH(VALUE(60)/100,Constants!$A:$A,0)),INDEX(Constants!$B:$B,MATCH(VALUE(BK243)/100,Constants!$A:$A,0))),IF(BK243&lt;60,INDEX(Constants!$C:$C,MATCH(VALUE(60)/100,Constants!$A:$A,0)),INDEX(Constants!$C:$C,MATCH(VALUE(BK243)/100,Constants!$A:$A,0)))),""),""))</f>
        <v/>
      </c>
      <c r="BJ243" s="147" t="str">
        <f t="shared" si="93"/>
        <v/>
      </c>
      <c r="BK243" s="147" t="str">
        <f>_xlfn.IFNA(VALUE(INDEX(Producer!$E:$E,MATCH($D243,Producer!$A:$A,0)))*100,"")</f>
        <v/>
      </c>
      <c r="BL243" s="146" t="str">
        <f>_xlfn.IFNA(IF(IFERROR(FIND("Part &amp; Part",B243),-10)&gt;0,"PP",IF(OR(LEFT(B243,25)="Residential Interest Only",INDEX(Producer!$P:$P,MATCH($D243,Producer!$A:$A,0))="IO",INDEX(Producer!$P:$P,MATCH($D243,Producer!$A:$A,0))="Retirement Interest Only"),"IO",IF($C243="BuyToLet","CI, IO","CI"))),"")</f>
        <v/>
      </c>
      <c r="BM243" s="152" t="str">
        <f>_xlfn.IFNA(IF(BL243="IO",100%,IF(AND(INDEX(Producer!$P:$P,MATCH($D243,Producer!$A:$A,0))="Residential Interest Only Part &amp; Part",BK243=75),80%,IF(C243="BuyToLet",100%,IF(BL243="Interest Only",100%,IF(AND(INDEX(Producer!$P:$P,MATCH($D243,Producer!$A:$A,0))="Residential Interest Only Part &amp; Part",BK243=60),100%,""))))),"")</f>
        <v/>
      </c>
      <c r="BN243" s="218" t="str">
        <f>_xlfn.IFNA(IF(VALUE(INDEX(Producer!$H:$H,MATCH($D243,Producer!$A:$A,0)))=0,"",VALUE(INDEX(Producer!$H:$H,MATCH($D243,Producer!$A:$A,0)))),"")</f>
        <v/>
      </c>
      <c r="BO243" s="153"/>
      <c r="BP243" s="153"/>
      <c r="BQ243" s="219" t="str">
        <f t="shared" si="94"/>
        <v/>
      </c>
      <c r="BR243" s="146"/>
      <c r="BS243" s="146"/>
      <c r="BT243" s="146"/>
      <c r="BU243" s="146"/>
      <c r="BV243" s="219" t="str">
        <f t="shared" si="95"/>
        <v/>
      </c>
      <c r="BW243" s="146"/>
      <c r="BX243" s="146"/>
      <c r="BY243" s="146" t="str">
        <f t="shared" si="96"/>
        <v/>
      </c>
      <c r="BZ243" s="146" t="str">
        <f t="shared" si="97"/>
        <v/>
      </c>
      <c r="CA243" s="146" t="str">
        <f t="shared" si="98"/>
        <v/>
      </c>
      <c r="CB243" s="146" t="str">
        <f t="shared" si="99"/>
        <v/>
      </c>
      <c r="CC243" s="146" t="str">
        <f>_xlfn.IFNA(IF(INDEX(Producer!$P:$P,MATCH($D243,Producer!$A:$A,0))="Help to Buy","Only available","No"),"")</f>
        <v/>
      </c>
      <c r="CD243" s="146" t="str">
        <f>_xlfn.IFNA(IF(INDEX(Producer!$P:$P,MATCH($D243,Producer!$A:$A,0))="Shared Ownership","Only available","No"),"")</f>
        <v/>
      </c>
      <c r="CE243" s="146" t="str">
        <f>_xlfn.IFNA(IF(INDEX(Producer!$P:$P,MATCH($D243,Producer!$A:$A,0))="Right to Buy","Only available","No"),"")</f>
        <v/>
      </c>
      <c r="CF243" s="146" t="str">
        <f t="shared" si="100"/>
        <v/>
      </c>
      <c r="CG243" s="146" t="str">
        <f>_xlfn.IFNA(IF(INDEX(Producer!$P:$P,MATCH($D243,Producer!$A:$A,0))="Retirement Interest Only","Only available","No"),"")</f>
        <v/>
      </c>
      <c r="CH243" s="146" t="str">
        <f t="shared" si="101"/>
        <v/>
      </c>
      <c r="CI243" s="146" t="str">
        <f>_xlfn.IFNA(IF(INDEX(Producer!$P:$P,MATCH($D243,Producer!$A:$A,0))="Intermediary Holiday Let","Only available","No"),"")</f>
        <v/>
      </c>
      <c r="CJ243" s="146" t="str">
        <f t="shared" si="102"/>
        <v/>
      </c>
      <c r="CK243" s="146" t="str">
        <f>_xlfn.IFNA(IF(OR(INDEX(Producer!$P:$P,MATCH($D243,Producer!$A:$A,0))="Intermediary Small HMO",INDEX(Producer!$P:$P,MATCH($D243,Producer!$A:$A,0))="Intermediary Large HMO"),"Only available","No"),"")</f>
        <v/>
      </c>
      <c r="CL243" s="146" t="str">
        <f t="shared" si="103"/>
        <v/>
      </c>
      <c r="CM243" s="146" t="str">
        <f t="shared" si="104"/>
        <v/>
      </c>
      <c r="CN243" s="146" t="str">
        <f t="shared" si="105"/>
        <v/>
      </c>
      <c r="CO243" s="146" t="str">
        <f t="shared" si="106"/>
        <v/>
      </c>
      <c r="CP243" s="146" t="str">
        <f t="shared" si="107"/>
        <v/>
      </c>
      <c r="CQ243" s="146" t="str">
        <f t="shared" si="108"/>
        <v/>
      </c>
      <c r="CR243" s="146" t="str">
        <f t="shared" si="109"/>
        <v/>
      </c>
      <c r="CS243" s="146" t="str">
        <f t="shared" si="110"/>
        <v/>
      </c>
      <c r="CT243" s="146" t="str">
        <f t="shared" si="111"/>
        <v/>
      </c>
      <c r="CU243" s="146"/>
    </row>
    <row r="244" spans="1:99" ht="16.399999999999999" customHeight="1" x14ac:dyDescent="0.35">
      <c r="A244" s="145" t="str">
        <f t="shared" si="84"/>
        <v/>
      </c>
      <c r="B244" s="145" t="str">
        <f>_xlfn.IFNA(_xlfn.CONCAT(INDEX(Producer!$P:$P,MATCH($D244,Producer!$A:$A,0))," ",IF(INDEX(Producer!$N:$N,MATCH($D244,Producer!$A:$A,0))="Yes","Green ",""),IF(AND(INDEX(Producer!$L:$L,MATCH($D244,Producer!$A:$A,0))="No",INDEX(Producer!$C:$C,MATCH($D244,Producer!$A:$A,0))="Fixed"),"Flexit ",""),INDEX(Producer!$B:$B,MATCH($D244,Producer!$A:$A,0))," Year ",INDEX(Producer!$C:$C,MATCH($D244,Producer!$A:$A,0))," ",VALUE(INDEX(Producer!$E:$E,MATCH($D244,Producer!$A:$A,0)))*100,"% LTV",IF(INDEX(Producer!$N:$N,MATCH($D244,Producer!$A:$A,0))="Yes"," (EPC A-C)","")," - ",IF(INDEX(Producer!$D:$D,MATCH($D244,Producer!$A:$A,0))="DLY","Daily","Annual")),"")</f>
        <v/>
      </c>
      <c r="C244" s="146" t="str">
        <f>_xlfn.IFNA(INDEX(Producer!$Q:$Q,MATCH($D244,Producer!$A:$A,0)),"")</f>
        <v/>
      </c>
      <c r="D244" s="146" t="str">
        <f>IFERROR(VALUE(MID(Producer!$R$2,IF($D243="",1/0,FIND(_xlfn.CONCAT($D242,$D243),Producer!$R$2)+10),5)),"")</f>
        <v/>
      </c>
      <c r="E244" s="146" t="str">
        <f t="shared" si="85"/>
        <v/>
      </c>
      <c r="F244" s="146"/>
      <c r="G244" s="147" t="str">
        <f>_xlfn.IFNA(VALUE(INDEX(Producer!$F:$F,MATCH($D244,Producer!$A:$A,0)))*100,"")</f>
        <v/>
      </c>
      <c r="H244" s="216" t="str">
        <f>_xlfn.IFNA(IFERROR(DATEVALUE(INDEX(Producer!$M:$M,MATCH($D244,Producer!$A:$A,0))),(INDEX(Producer!$M:$M,MATCH($D244,Producer!$A:$A,0)))),"")</f>
        <v/>
      </c>
      <c r="I244" s="217" t="str">
        <f>_xlfn.IFNA(VALUE(INDEX(Producer!$B:$B,MATCH($D244,Producer!$A:$A,0)))*12,"")</f>
        <v/>
      </c>
      <c r="J244" s="146" t="str">
        <f>_xlfn.IFNA(IF(C244="Residential",IF(VALUE(INDEX(Producer!$B:$B,MATCH($D244,Producer!$A:$A,0)))&lt;5,Constants!$C$10,""),IF(VALUE(INDEX(Producer!$B:$B,MATCH($D244,Producer!$A:$A,0)))&lt;5,Constants!$C$11,"")),"")</f>
        <v/>
      </c>
      <c r="K244" s="216" t="str">
        <f>_xlfn.IFNA(IF(($I244)&lt;60,DATE(YEAR(H244)+(5-VALUE(INDEX(Producer!$B:$B,MATCH($D244,Producer!$A:$A,0)))),MONTH(H244),DAY(H244)),""),"")</f>
        <v/>
      </c>
      <c r="L244" s="153" t="str">
        <f t="shared" si="86"/>
        <v/>
      </c>
      <c r="M244" s="146"/>
      <c r="N244" s="148"/>
      <c r="O244" s="148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6"/>
      <c r="AK244" s="146" t="str">
        <f>IF(D244="","",IF(C244="Residential",Constants!$B$10,Constants!$B$11))</f>
        <v/>
      </c>
      <c r="AL244" s="146" t="str">
        <f t="shared" si="87"/>
        <v/>
      </c>
      <c r="AM244" s="206" t="str">
        <f t="shared" si="88"/>
        <v/>
      </c>
      <c r="AN244" s="146" t="str">
        <f t="shared" si="89"/>
        <v/>
      </c>
      <c r="AO244" s="149" t="str">
        <f t="shared" si="90"/>
        <v/>
      </c>
      <c r="AP244" s="150" t="str">
        <f t="shared" si="91"/>
        <v/>
      </c>
      <c r="AQ244" s="146" t="str">
        <f>IFERROR(_xlfn.IFNA(IF($BA244="No",0,IF(INDEX(Constants!B:B,MATCH(($I244/12),Constants!$A:$A,0))=0,0,INDEX(Constants!B:B,MATCH(($I244/12),Constants!$A:$A,0)))),0),"")</f>
        <v/>
      </c>
      <c r="AR244" s="146" t="str">
        <f>IFERROR(_xlfn.IFNA(IF($BA244="No",0,IF(INDEX(Constants!C:C,MATCH(($I244/12),Constants!$A:$A,0))=0,0,INDEX(Constants!C:C,MATCH(($I244/12),Constants!$A:$A,0)))),0),"")</f>
        <v/>
      </c>
      <c r="AS244" s="146" t="str">
        <f>IFERROR(_xlfn.IFNA(IF($BA244="No",0,IF(INDEX(Constants!D:D,MATCH(($I244/12),Constants!$A:$A,0))=0,0,INDEX(Constants!D:D,MATCH(($I244/12),Constants!$A:$A,0)))),0),"")</f>
        <v/>
      </c>
      <c r="AT244" s="146" t="str">
        <f>IFERROR(_xlfn.IFNA(IF($BA244="No",0,IF(INDEX(Constants!E:E,MATCH(($I244/12),Constants!$A:$A,0))=0,0,INDEX(Constants!E:E,MATCH(($I244/12),Constants!$A:$A,0)))),0),"")</f>
        <v/>
      </c>
      <c r="AU244" s="146" t="str">
        <f>IFERROR(_xlfn.IFNA(IF($BA244="No",0,IF(INDEX(Constants!F:F,MATCH(($I244/12),Constants!$A:$A,0))=0,0,INDEX(Constants!F:F,MATCH(($I244/12),Constants!$A:$A,0)))),0),"")</f>
        <v/>
      </c>
      <c r="AV244" s="146" t="str">
        <f>IFERROR(_xlfn.IFNA(IF($BA244="No",0,IF(INDEX(Constants!G:G,MATCH(($I244/12),Constants!$A:$A,0))=0,0,INDEX(Constants!G:G,MATCH(($I244/12),Constants!$A:$A,0)))),0),"")</f>
        <v/>
      </c>
      <c r="AW244" s="146" t="str">
        <f>IFERROR(_xlfn.IFNA(IF($BA244="No",0,IF(INDEX(Constants!H:H,MATCH(($I244/12),Constants!$A:$A,0))=0,0,INDEX(Constants!H:H,MATCH(($I244/12),Constants!$A:$A,0)))),0),"")</f>
        <v/>
      </c>
      <c r="AX244" s="146" t="str">
        <f>IFERROR(_xlfn.IFNA(IF($BA244="No",0,IF(INDEX(Constants!I:I,MATCH(($I244/12),Constants!$A:$A,0))=0,0,INDEX(Constants!I:I,MATCH(($I244/12),Constants!$A:$A,0)))),0),"")</f>
        <v/>
      </c>
      <c r="AY244" s="146" t="str">
        <f>IFERROR(_xlfn.IFNA(IF($BA244="No",0,IF(INDEX(Constants!J:J,MATCH(($I244/12),Constants!$A:$A,0))=0,0,INDEX(Constants!J:J,MATCH(($I244/12),Constants!$A:$A,0)))),0),"")</f>
        <v/>
      </c>
      <c r="AZ244" s="146" t="str">
        <f>IFERROR(_xlfn.IFNA(IF($BA244="No",0,IF(INDEX(Constants!K:K,MATCH(($I244/12),Constants!$A:$A,0))=0,0,INDEX(Constants!K:K,MATCH(($I244/12),Constants!$A:$A,0)))),0),"")</f>
        <v/>
      </c>
      <c r="BA244" s="147" t="str">
        <f>_xlfn.IFNA(INDEX(Producer!$L:$L,MATCH($D244,Producer!$A:$A,0)),"")</f>
        <v/>
      </c>
      <c r="BB244" s="146" t="str">
        <f>IFERROR(IF(AQ244=0,"",IF(($I244/12)=15,_xlfn.CONCAT(Constants!$N$7,TEXT(DATE(YEAR(H244)-(($I244/12)-3),MONTH(H244),DAY(H244)),"dd/mm/yyyy"),", ",Constants!$P$7,TEXT(DATE(YEAR(H244)-(($I244/12)-8),MONTH(H244),DAY(H244)),"dd/mm/yyyy"),", ",Constants!$T$7,TEXT(DATE(YEAR(H244)-(($I244/12)-11),MONTH(H244),DAY(H244)),"dd/mm/yyyy"),", ",Constants!$V$7,TEXT(DATE(YEAR(H244)-(($I244/12)-13),MONTH(H244),DAY(H244)),"dd/mm/yyyy"),", ",Constants!$W$7,TEXT($H244,"dd/mm/yyyy")),IF(($I244/12)=10,_xlfn.CONCAT(Constants!$N$6,TEXT(DATE(YEAR(H244)-(($I244/12)-2),MONTH(H244),DAY(H244)),"dd/mm/yyyy"),", ",Constants!$P$6,TEXT(DATE(YEAR(H244)-(($I244/12)-6),MONTH(H244),DAY(H244)),"dd/mm/yyyy"),", ",Constants!$T$6,TEXT(DATE(YEAR(H244)-(($I244/12)-8),MONTH(H244),DAY(H244)),"dd/mm/yyyy"),", ",Constants!$V$6,TEXT(DATE(YEAR(H244)-(($I244/12)-9),MONTH(H244),DAY(H244)),"dd/mm/yyyy"),", ",Constants!$W$6,TEXT($H244,"dd/mm/yyyy")),IF(($I244/12)=5,_xlfn.CONCAT(Constants!$N$5,TEXT(DATE(YEAR(H244)-(($I244/12)-1),MONTH(H244),DAY(H244)),"dd/mm/yyyy"),", ",Constants!$O$5,TEXT(DATE(YEAR(H244)-(($I244/12)-2),MONTH(H244),DAY(H244)),"dd/mm/yyyy"),", ",Constants!$P$5,TEXT(DATE(YEAR(H244)-(($I244/12)-3),MONTH(H244),DAY(H244)),"dd/mm/yyyy"),", ",Constants!$Q$5,TEXT(DATE(YEAR(H244)-(($I244/12)-4),MONTH(H244),DAY(H244)),"dd/mm/yyyy"),", ",Constants!$R$5,TEXT($H244,"dd/mm/yyyy")),IF(($I244/12)=3,_xlfn.CONCAT(Constants!$N$4,TEXT(DATE(YEAR(H244)-(($I244/12)-1),MONTH(H244),DAY(H244)),"dd/mm/yyyy"),", ",Constants!$O$4,TEXT(DATE(YEAR(H244)-(($I244/12)-2),MONTH(H244),DAY(H244)),"dd/mm/yyyy"),", ",Constants!$P$4,TEXT($H244,"dd/mm/yyyy")),IF(($I244/12)=2,_xlfn.CONCAT(Constants!$N$3,TEXT(DATE(YEAR(H244)-(($I244/12)-1),MONTH(H244),DAY(H244)),"dd/mm/yyyy"),", ",Constants!$O$3,TEXT($H244,"dd/mm/yyyy")),IF(($I244/12)=1,_xlfn.CONCAT(Constants!$N$2,TEXT($H244,"dd/mm/yyyy")),"Update Constants"))))))),"")</f>
        <v/>
      </c>
      <c r="BC244" s="147" t="str">
        <f>_xlfn.IFNA(VALUE(INDEX(Producer!$K:$K,MATCH($D244,Producer!$A:$A,0))),"")</f>
        <v/>
      </c>
      <c r="BD244" s="147" t="str">
        <f>_xlfn.IFNA(INDEX(Producer!$I:$I,MATCH($D244,Producer!$A:$A,0)),"")</f>
        <v/>
      </c>
      <c r="BE244" s="147" t="str">
        <f t="shared" si="92"/>
        <v/>
      </c>
      <c r="BF244" s="147"/>
      <c r="BG244" s="147"/>
      <c r="BH244" s="151" t="str">
        <f>_xlfn.IFNA(INDEX(Constants!$B:$B,MATCH(BC244,Constants!A:A,0)),"")</f>
        <v/>
      </c>
      <c r="BI244" s="147" t="str">
        <f>IF(LEFT(B244,15)="Limited Company",Constants!$D$16,IFERROR(_xlfn.IFNA(IF(C244="Residential",IF(BK244&lt;75,INDEX(Constants!$B:$B,MATCH(VALUE(60)/100,Constants!$A:$A,0)),INDEX(Constants!$B:$B,MATCH(VALUE(BK244)/100,Constants!$A:$A,0))),IF(BK244&lt;60,INDEX(Constants!$C:$C,MATCH(VALUE(60)/100,Constants!$A:$A,0)),INDEX(Constants!$C:$C,MATCH(VALUE(BK244)/100,Constants!$A:$A,0)))),""),""))</f>
        <v/>
      </c>
      <c r="BJ244" s="147" t="str">
        <f t="shared" si="93"/>
        <v/>
      </c>
      <c r="BK244" s="147" t="str">
        <f>_xlfn.IFNA(VALUE(INDEX(Producer!$E:$E,MATCH($D244,Producer!$A:$A,0)))*100,"")</f>
        <v/>
      </c>
      <c r="BL244" s="146" t="str">
        <f>_xlfn.IFNA(IF(IFERROR(FIND("Part &amp; Part",B244),-10)&gt;0,"PP",IF(OR(LEFT(B244,25)="Residential Interest Only",INDEX(Producer!$P:$P,MATCH($D244,Producer!$A:$A,0))="IO",INDEX(Producer!$P:$P,MATCH($D244,Producer!$A:$A,0))="Retirement Interest Only"),"IO",IF($C244="BuyToLet","CI, IO","CI"))),"")</f>
        <v/>
      </c>
      <c r="BM244" s="152" t="str">
        <f>_xlfn.IFNA(IF(BL244="IO",100%,IF(AND(INDEX(Producer!$P:$P,MATCH($D244,Producer!$A:$A,0))="Residential Interest Only Part &amp; Part",BK244=75),80%,IF(C244="BuyToLet",100%,IF(BL244="Interest Only",100%,IF(AND(INDEX(Producer!$P:$P,MATCH($D244,Producer!$A:$A,0))="Residential Interest Only Part &amp; Part",BK244=60),100%,""))))),"")</f>
        <v/>
      </c>
      <c r="BN244" s="218" t="str">
        <f>_xlfn.IFNA(IF(VALUE(INDEX(Producer!$H:$H,MATCH($D244,Producer!$A:$A,0)))=0,"",VALUE(INDEX(Producer!$H:$H,MATCH($D244,Producer!$A:$A,0)))),"")</f>
        <v/>
      </c>
      <c r="BO244" s="153"/>
      <c r="BP244" s="153"/>
      <c r="BQ244" s="219" t="str">
        <f t="shared" si="94"/>
        <v/>
      </c>
      <c r="BR244" s="146"/>
      <c r="BS244" s="146"/>
      <c r="BT244" s="146"/>
      <c r="BU244" s="146"/>
      <c r="BV244" s="219" t="str">
        <f t="shared" si="95"/>
        <v/>
      </c>
      <c r="BW244" s="146"/>
      <c r="BX244" s="146"/>
      <c r="BY244" s="146" t="str">
        <f t="shared" si="96"/>
        <v/>
      </c>
      <c r="BZ244" s="146" t="str">
        <f t="shared" si="97"/>
        <v/>
      </c>
      <c r="CA244" s="146" t="str">
        <f t="shared" si="98"/>
        <v/>
      </c>
      <c r="CB244" s="146" t="str">
        <f t="shared" si="99"/>
        <v/>
      </c>
      <c r="CC244" s="146" t="str">
        <f>_xlfn.IFNA(IF(INDEX(Producer!$P:$P,MATCH($D244,Producer!$A:$A,0))="Help to Buy","Only available","No"),"")</f>
        <v/>
      </c>
      <c r="CD244" s="146" t="str">
        <f>_xlfn.IFNA(IF(INDEX(Producer!$P:$P,MATCH($D244,Producer!$A:$A,0))="Shared Ownership","Only available","No"),"")</f>
        <v/>
      </c>
      <c r="CE244" s="146" t="str">
        <f>_xlfn.IFNA(IF(INDEX(Producer!$P:$P,MATCH($D244,Producer!$A:$A,0))="Right to Buy","Only available","No"),"")</f>
        <v/>
      </c>
      <c r="CF244" s="146" t="str">
        <f t="shared" si="100"/>
        <v/>
      </c>
      <c r="CG244" s="146" t="str">
        <f>_xlfn.IFNA(IF(INDEX(Producer!$P:$P,MATCH($D244,Producer!$A:$A,0))="Retirement Interest Only","Only available","No"),"")</f>
        <v/>
      </c>
      <c r="CH244" s="146" t="str">
        <f t="shared" si="101"/>
        <v/>
      </c>
      <c r="CI244" s="146" t="str">
        <f>_xlfn.IFNA(IF(INDEX(Producer!$P:$P,MATCH($D244,Producer!$A:$A,0))="Intermediary Holiday Let","Only available","No"),"")</f>
        <v/>
      </c>
      <c r="CJ244" s="146" t="str">
        <f t="shared" si="102"/>
        <v/>
      </c>
      <c r="CK244" s="146" t="str">
        <f>_xlfn.IFNA(IF(OR(INDEX(Producer!$P:$P,MATCH($D244,Producer!$A:$A,0))="Intermediary Small HMO",INDEX(Producer!$P:$P,MATCH($D244,Producer!$A:$A,0))="Intermediary Large HMO"),"Only available","No"),"")</f>
        <v/>
      </c>
      <c r="CL244" s="146" t="str">
        <f t="shared" si="103"/>
        <v/>
      </c>
      <c r="CM244" s="146" t="str">
        <f t="shared" si="104"/>
        <v/>
      </c>
      <c r="CN244" s="146" t="str">
        <f t="shared" si="105"/>
        <v/>
      </c>
      <c r="CO244" s="146" t="str">
        <f t="shared" si="106"/>
        <v/>
      </c>
      <c r="CP244" s="146" t="str">
        <f t="shared" si="107"/>
        <v/>
      </c>
      <c r="CQ244" s="146" t="str">
        <f t="shared" si="108"/>
        <v/>
      </c>
      <c r="CR244" s="146" t="str">
        <f t="shared" si="109"/>
        <v/>
      </c>
      <c r="CS244" s="146" t="str">
        <f t="shared" si="110"/>
        <v/>
      </c>
      <c r="CT244" s="146" t="str">
        <f t="shared" si="111"/>
        <v/>
      </c>
      <c r="CU244" s="146"/>
    </row>
    <row r="245" spans="1:99" ht="16.399999999999999" customHeight="1" x14ac:dyDescent="0.35">
      <c r="A245" s="145" t="str">
        <f t="shared" si="84"/>
        <v/>
      </c>
      <c r="B245" s="145" t="str">
        <f>_xlfn.IFNA(_xlfn.CONCAT(INDEX(Producer!$P:$P,MATCH($D245,Producer!$A:$A,0))," ",IF(INDEX(Producer!$N:$N,MATCH($D245,Producer!$A:$A,0))="Yes","Green ",""),IF(AND(INDEX(Producer!$L:$L,MATCH($D245,Producer!$A:$A,0))="No",INDEX(Producer!$C:$C,MATCH($D245,Producer!$A:$A,0))="Fixed"),"Flexit ",""),INDEX(Producer!$B:$B,MATCH($D245,Producer!$A:$A,0))," Year ",INDEX(Producer!$C:$C,MATCH($D245,Producer!$A:$A,0))," ",VALUE(INDEX(Producer!$E:$E,MATCH($D245,Producer!$A:$A,0)))*100,"% LTV",IF(INDEX(Producer!$N:$N,MATCH($D245,Producer!$A:$A,0))="Yes"," (EPC A-C)","")," - ",IF(INDEX(Producer!$D:$D,MATCH($D245,Producer!$A:$A,0))="DLY","Daily","Annual")),"")</f>
        <v/>
      </c>
      <c r="C245" s="146" t="str">
        <f>_xlfn.IFNA(INDEX(Producer!$Q:$Q,MATCH($D245,Producer!$A:$A,0)),"")</f>
        <v/>
      </c>
      <c r="D245" s="146" t="str">
        <f>IFERROR(VALUE(MID(Producer!$R$2,IF($D244="",1/0,FIND(_xlfn.CONCAT($D243,$D244),Producer!$R$2)+10),5)),"")</f>
        <v/>
      </c>
      <c r="E245" s="146" t="str">
        <f t="shared" si="85"/>
        <v/>
      </c>
      <c r="F245" s="146"/>
      <c r="G245" s="147" t="str">
        <f>_xlfn.IFNA(VALUE(INDEX(Producer!$F:$F,MATCH($D245,Producer!$A:$A,0)))*100,"")</f>
        <v/>
      </c>
      <c r="H245" s="216" t="str">
        <f>_xlfn.IFNA(IFERROR(DATEVALUE(INDEX(Producer!$M:$M,MATCH($D245,Producer!$A:$A,0))),(INDEX(Producer!$M:$M,MATCH($D245,Producer!$A:$A,0)))),"")</f>
        <v/>
      </c>
      <c r="I245" s="217" t="str">
        <f>_xlfn.IFNA(VALUE(INDEX(Producer!$B:$B,MATCH($D245,Producer!$A:$A,0)))*12,"")</f>
        <v/>
      </c>
      <c r="J245" s="146" t="str">
        <f>_xlfn.IFNA(IF(C245="Residential",IF(VALUE(INDEX(Producer!$B:$B,MATCH($D245,Producer!$A:$A,0)))&lt;5,Constants!$C$10,""),IF(VALUE(INDEX(Producer!$B:$B,MATCH($D245,Producer!$A:$A,0)))&lt;5,Constants!$C$11,"")),"")</f>
        <v/>
      </c>
      <c r="K245" s="216" t="str">
        <f>_xlfn.IFNA(IF(($I245)&lt;60,DATE(YEAR(H245)+(5-VALUE(INDEX(Producer!$B:$B,MATCH($D245,Producer!$A:$A,0)))),MONTH(H245),DAY(H245)),""),"")</f>
        <v/>
      </c>
      <c r="L245" s="153" t="str">
        <f t="shared" si="86"/>
        <v/>
      </c>
      <c r="M245" s="146"/>
      <c r="N245" s="148"/>
      <c r="O245" s="148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6"/>
      <c r="AK245" s="146" t="str">
        <f>IF(D245="","",IF(C245="Residential",Constants!$B$10,Constants!$B$11))</f>
        <v/>
      </c>
      <c r="AL245" s="146" t="str">
        <f t="shared" si="87"/>
        <v/>
      </c>
      <c r="AM245" s="206" t="str">
        <f t="shared" si="88"/>
        <v/>
      </c>
      <c r="AN245" s="146" t="str">
        <f t="shared" si="89"/>
        <v/>
      </c>
      <c r="AO245" s="149" t="str">
        <f t="shared" si="90"/>
        <v/>
      </c>
      <c r="AP245" s="150" t="str">
        <f t="shared" si="91"/>
        <v/>
      </c>
      <c r="AQ245" s="146" t="str">
        <f>IFERROR(_xlfn.IFNA(IF($BA245="No",0,IF(INDEX(Constants!B:B,MATCH(($I245/12),Constants!$A:$A,0))=0,0,INDEX(Constants!B:B,MATCH(($I245/12),Constants!$A:$A,0)))),0),"")</f>
        <v/>
      </c>
      <c r="AR245" s="146" t="str">
        <f>IFERROR(_xlfn.IFNA(IF($BA245="No",0,IF(INDEX(Constants!C:C,MATCH(($I245/12),Constants!$A:$A,0))=0,0,INDEX(Constants!C:C,MATCH(($I245/12),Constants!$A:$A,0)))),0),"")</f>
        <v/>
      </c>
      <c r="AS245" s="146" t="str">
        <f>IFERROR(_xlfn.IFNA(IF($BA245="No",0,IF(INDEX(Constants!D:D,MATCH(($I245/12),Constants!$A:$A,0))=0,0,INDEX(Constants!D:D,MATCH(($I245/12),Constants!$A:$A,0)))),0),"")</f>
        <v/>
      </c>
      <c r="AT245" s="146" t="str">
        <f>IFERROR(_xlfn.IFNA(IF($BA245="No",0,IF(INDEX(Constants!E:E,MATCH(($I245/12),Constants!$A:$A,0))=0,0,INDEX(Constants!E:E,MATCH(($I245/12),Constants!$A:$A,0)))),0),"")</f>
        <v/>
      </c>
      <c r="AU245" s="146" t="str">
        <f>IFERROR(_xlfn.IFNA(IF($BA245="No",0,IF(INDEX(Constants!F:F,MATCH(($I245/12),Constants!$A:$A,0))=0,0,INDEX(Constants!F:F,MATCH(($I245/12),Constants!$A:$A,0)))),0),"")</f>
        <v/>
      </c>
      <c r="AV245" s="146" t="str">
        <f>IFERROR(_xlfn.IFNA(IF($BA245="No",0,IF(INDEX(Constants!G:G,MATCH(($I245/12),Constants!$A:$A,0))=0,0,INDEX(Constants!G:G,MATCH(($I245/12),Constants!$A:$A,0)))),0),"")</f>
        <v/>
      </c>
      <c r="AW245" s="146" t="str">
        <f>IFERROR(_xlfn.IFNA(IF($BA245="No",0,IF(INDEX(Constants!H:H,MATCH(($I245/12),Constants!$A:$A,0))=0,0,INDEX(Constants!H:H,MATCH(($I245/12),Constants!$A:$A,0)))),0),"")</f>
        <v/>
      </c>
      <c r="AX245" s="146" t="str">
        <f>IFERROR(_xlfn.IFNA(IF($BA245="No",0,IF(INDEX(Constants!I:I,MATCH(($I245/12),Constants!$A:$A,0))=0,0,INDEX(Constants!I:I,MATCH(($I245/12),Constants!$A:$A,0)))),0),"")</f>
        <v/>
      </c>
      <c r="AY245" s="146" t="str">
        <f>IFERROR(_xlfn.IFNA(IF($BA245="No",0,IF(INDEX(Constants!J:J,MATCH(($I245/12),Constants!$A:$A,0))=0,0,INDEX(Constants!J:J,MATCH(($I245/12),Constants!$A:$A,0)))),0),"")</f>
        <v/>
      </c>
      <c r="AZ245" s="146" t="str">
        <f>IFERROR(_xlfn.IFNA(IF($BA245="No",0,IF(INDEX(Constants!K:K,MATCH(($I245/12),Constants!$A:$A,0))=0,0,INDEX(Constants!K:K,MATCH(($I245/12),Constants!$A:$A,0)))),0),"")</f>
        <v/>
      </c>
      <c r="BA245" s="147" t="str">
        <f>_xlfn.IFNA(INDEX(Producer!$L:$L,MATCH($D245,Producer!$A:$A,0)),"")</f>
        <v/>
      </c>
      <c r="BB245" s="146" t="str">
        <f>IFERROR(IF(AQ245=0,"",IF(($I245/12)=15,_xlfn.CONCAT(Constants!$N$7,TEXT(DATE(YEAR(H245)-(($I245/12)-3),MONTH(H245),DAY(H245)),"dd/mm/yyyy"),", ",Constants!$P$7,TEXT(DATE(YEAR(H245)-(($I245/12)-8),MONTH(H245),DAY(H245)),"dd/mm/yyyy"),", ",Constants!$T$7,TEXT(DATE(YEAR(H245)-(($I245/12)-11),MONTH(H245),DAY(H245)),"dd/mm/yyyy"),", ",Constants!$V$7,TEXT(DATE(YEAR(H245)-(($I245/12)-13),MONTH(H245),DAY(H245)),"dd/mm/yyyy"),", ",Constants!$W$7,TEXT($H245,"dd/mm/yyyy")),IF(($I245/12)=10,_xlfn.CONCAT(Constants!$N$6,TEXT(DATE(YEAR(H245)-(($I245/12)-2),MONTH(H245),DAY(H245)),"dd/mm/yyyy"),", ",Constants!$P$6,TEXT(DATE(YEAR(H245)-(($I245/12)-6),MONTH(H245),DAY(H245)),"dd/mm/yyyy"),", ",Constants!$T$6,TEXT(DATE(YEAR(H245)-(($I245/12)-8),MONTH(H245),DAY(H245)),"dd/mm/yyyy"),", ",Constants!$V$6,TEXT(DATE(YEAR(H245)-(($I245/12)-9),MONTH(H245),DAY(H245)),"dd/mm/yyyy"),", ",Constants!$W$6,TEXT($H245,"dd/mm/yyyy")),IF(($I245/12)=5,_xlfn.CONCAT(Constants!$N$5,TEXT(DATE(YEAR(H245)-(($I245/12)-1),MONTH(H245),DAY(H245)),"dd/mm/yyyy"),", ",Constants!$O$5,TEXT(DATE(YEAR(H245)-(($I245/12)-2),MONTH(H245),DAY(H245)),"dd/mm/yyyy"),", ",Constants!$P$5,TEXT(DATE(YEAR(H245)-(($I245/12)-3),MONTH(H245),DAY(H245)),"dd/mm/yyyy"),", ",Constants!$Q$5,TEXT(DATE(YEAR(H245)-(($I245/12)-4),MONTH(H245),DAY(H245)),"dd/mm/yyyy"),", ",Constants!$R$5,TEXT($H245,"dd/mm/yyyy")),IF(($I245/12)=3,_xlfn.CONCAT(Constants!$N$4,TEXT(DATE(YEAR(H245)-(($I245/12)-1),MONTH(H245),DAY(H245)),"dd/mm/yyyy"),", ",Constants!$O$4,TEXT(DATE(YEAR(H245)-(($I245/12)-2),MONTH(H245),DAY(H245)),"dd/mm/yyyy"),", ",Constants!$P$4,TEXT($H245,"dd/mm/yyyy")),IF(($I245/12)=2,_xlfn.CONCAT(Constants!$N$3,TEXT(DATE(YEAR(H245)-(($I245/12)-1),MONTH(H245),DAY(H245)),"dd/mm/yyyy"),", ",Constants!$O$3,TEXT($H245,"dd/mm/yyyy")),IF(($I245/12)=1,_xlfn.CONCAT(Constants!$N$2,TEXT($H245,"dd/mm/yyyy")),"Update Constants"))))))),"")</f>
        <v/>
      </c>
      <c r="BC245" s="147" t="str">
        <f>_xlfn.IFNA(VALUE(INDEX(Producer!$K:$K,MATCH($D245,Producer!$A:$A,0))),"")</f>
        <v/>
      </c>
      <c r="BD245" s="147" t="str">
        <f>_xlfn.IFNA(INDEX(Producer!$I:$I,MATCH($D245,Producer!$A:$A,0)),"")</f>
        <v/>
      </c>
      <c r="BE245" s="147" t="str">
        <f t="shared" si="92"/>
        <v/>
      </c>
      <c r="BF245" s="147"/>
      <c r="BG245" s="147"/>
      <c r="BH245" s="151" t="str">
        <f>_xlfn.IFNA(INDEX(Constants!$B:$B,MATCH(BC245,Constants!A:A,0)),"")</f>
        <v/>
      </c>
      <c r="BI245" s="147" t="str">
        <f>IF(LEFT(B245,15)="Limited Company",Constants!$D$16,IFERROR(_xlfn.IFNA(IF(C245="Residential",IF(BK245&lt;75,INDEX(Constants!$B:$B,MATCH(VALUE(60)/100,Constants!$A:$A,0)),INDEX(Constants!$B:$B,MATCH(VALUE(BK245)/100,Constants!$A:$A,0))),IF(BK245&lt;60,INDEX(Constants!$C:$C,MATCH(VALUE(60)/100,Constants!$A:$A,0)),INDEX(Constants!$C:$C,MATCH(VALUE(BK245)/100,Constants!$A:$A,0)))),""),""))</f>
        <v/>
      </c>
      <c r="BJ245" s="147" t="str">
        <f t="shared" si="93"/>
        <v/>
      </c>
      <c r="BK245" s="147" t="str">
        <f>_xlfn.IFNA(VALUE(INDEX(Producer!$E:$E,MATCH($D245,Producer!$A:$A,0)))*100,"")</f>
        <v/>
      </c>
      <c r="BL245" s="146" t="str">
        <f>_xlfn.IFNA(IF(IFERROR(FIND("Part &amp; Part",B245),-10)&gt;0,"PP",IF(OR(LEFT(B245,25)="Residential Interest Only",INDEX(Producer!$P:$P,MATCH($D245,Producer!$A:$A,0))="IO",INDEX(Producer!$P:$P,MATCH($D245,Producer!$A:$A,0))="Retirement Interest Only"),"IO",IF($C245="BuyToLet","CI, IO","CI"))),"")</f>
        <v/>
      </c>
      <c r="BM245" s="152" t="str">
        <f>_xlfn.IFNA(IF(BL245="IO",100%,IF(AND(INDEX(Producer!$P:$P,MATCH($D245,Producer!$A:$A,0))="Residential Interest Only Part &amp; Part",BK245=75),80%,IF(C245="BuyToLet",100%,IF(BL245="Interest Only",100%,IF(AND(INDEX(Producer!$P:$P,MATCH($D245,Producer!$A:$A,0))="Residential Interest Only Part &amp; Part",BK245=60),100%,""))))),"")</f>
        <v/>
      </c>
      <c r="BN245" s="218" t="str">
        <f>_xlfn.IFNA(IF(VALUE(INDEX(Producer!$H:$H,MATCH($D245,Producer!$A:$A,0)))=0,"",VALUE(INDEX(Producer!$H:$H,MATCH($D245,Producer!$A:$A,0)))),"")</f>
        <v/>
      </c>
      <c r="BO245" s="153"/>
      <c r="BP245" s="153"/>
      <c r="BQ245" s="219" t="str">
        <f t="shared" si="94"/>
        <v/>
      </c>
      <c r="BR245" s="146"/>
      <c r="BS245" s="146"/>
      <c r="BT245" s="146"/>
      <c r="BU245" s="146"/>
      <c r="BV245" s="219" t="str">
        <f t="shared" si="95"/>
        <v/>
      </c>
      <c r="BW245" s="146"/>
      <c r="BX245" s="146"/>
      <c r="BY245" s="146" t="str">
        <f t="shared" si="96"/>
        <v/>
      </c>
      <c r="BZ245" s="146" t="str">
        <f t="shared" si="97"/>
        <v/>
      </c>
      <c r="CA245" s="146" t="str">
        <f t="shared" si="98"/>
        <v/>
      </c>
      <c r="CB245" s="146" t="str">
        <f t="shared" si="99"/>
        <v/>
      </c>
      <c r="CC245" s="146" t="str">
        <f>_xlfn.IFNA(IF(INDEX(Producer!$P:$P,MATCH($D245,Producer!$A:$A,0))="Help to Buy","Only available","No"),"")</f>
        <v/>
      </c>
      <c r="CD245" s="146" t="str">
        <f>_xlfn.IFNA(IF(INDEX(Producer!$P:$P,MATCH($D245,Producer!$A:$A,0))="Shared Ownership","Only available","No"),"")</f>
        <v/>
      </c>
      <c r="CE245" s="146" t="str">
        <f>_xlfn.IFNA(IF(INDEX(Producer!$P:$P,MATCH($D245,Producer!$A:$A,0))="Right to Buy","Only available","No"),"")</f>
        <v/>
      </c>
      <c r="CF245" s="146" t="str">
        <f t="shared" si="100"/>
        <v/>
      </c>
      <c r="CG245" s="146" t="str">
        <f>_xlfn.IFNA(IF(INDEX(Producer!$P:$P,MATCH($D245,Producer!$A:$A,0))="Retirement Interest Only","Only available","No"),"")</f>
        <v/>
      </c>
      <c r="CH245" s="146" t="str">
        <f t="shared" si="101"/>
        <v/>
      </c>
      <c r="CI245" s="146" t="str">
        <f>_xlfn.IFNA(IF(INDEX(Producer!$P:$P,MATCH($D245,Producer!$A:$A,0))="Intermediary Holiday Let","Only available","No"),"")</f>
        <v/>
      </c>
      <c r="CJ245" s="146" t="str">
        <f t="shared" si="102"/>
        <v/>
      </c>
      <c r="CK245" s="146" t="str">
        <f>_xlfn.IFNA(IF(OR(INDEX(Producer!$P:$P,MATCH($D245,Producer!$A:$A,0))="Intermediary Small HMO",INDEX(Producer!$P:$P,MATCH($D245,Producer!$A:$A,0))="Intermediary Large HMO"),"Only available","No"),"")</f>
        <v/>
      </c>
      <c r="CL245" s="146" t="str">
        <f t="shared" si="103"/>
        <v/>
      </c>
      <c r="CM245" s="146" t="str">
        <f t="shared" si="104"/>
        <v/>
      </c>
      <c r="CN245" s="146" t="str">
        <f t="shared" si="105"/>
        <v/>
      </c>
      <c r="CO245" s="146" t="str">
        <f t="shared" si="106"/>
        <v/>
      </c>
      <c r="CP245" s="146" t="str">
        <f t="shared" si="107"/>
        <v/>
      </c>
      <c r="CQ245" s="146" t="str">
        <f t="shared" si="108"/>
        <v/>
      </c>
      <c r="CR245" s="146" t="str">
        <f t="shared" si="109"/>
        <v/>
      </c>
      <c r="CS245" s="146" t="str">
        <f t="shared" si="110"/>
        <v/>
      </c>
      <c r="CT245" s="146" t="str">
        <f t="shared" si="111"/>
        <v/>
      </c>
      <c r="CU245" s="146"/>
    </row>
    <row r="246" spans="1:99" ht="16.399999999999999" customHeight="1" x14ac:dyDescent="0.35">
      <c r="A246" s="145" t="str">
        <f t="shared" si="84"/>
        <v/>
      </c>
      <c r="B246" s="145" t="str">
        <f>_xlfn.IFNA(_xlfn.CONCAT(INDEX(Producer!$P:$P,MATCH($D246,Producer!$A:$A,0))," ",IF(INDEX(Producer!$N:$N,MATCH($D246,Producer!$A:$A,0))="Yes","Green ",""),IF(AND(INDEX(Producer!$L:$L,MATCH($D246,Producer!$A:$A,0))="No",INDEX(Producer!$C:$C,MATCH($D246,Producer!$A:$A,0))="Fixed"),"Flexit ",""),INDEX(Producer!$B:$B,MATCH($D246,Producer!$A:$A,0))," Year ",INDEX(Producer!$C:$C,MATCH($D246,Producer!$A:$A,0))," ",VALUE(INDEX(Producer!$E:$E,MATCH($D246,Producer!$A:$A,0)))*100,"% LTV",IF(INDEX(Producer!$N:$N,MATCH($D246,Producer!$A:$A,0))="Yes"," (EPC A-C)","")," - ",IF(INDEX(Producer!$D:$D,MATCH($D246,Producer!$A:$A,0))="DLY","Daily","Annual")),"")</f>
        <v/>
      </c>
      <c r="C246" s="146" t="str">
        <f>_xlfn.IFNA(INDEX(Producer!$Q:$Q,MATCH($D246,Producer!$A:$A,0)),"")</f>
        <v/>
      </c>
      <c r="D246" s="146" t="str">
        <f>IFERROR(VALUE(MID(Producer!$R$2,IF($D245="",1/0,FIND(_xlfn.CONCAT($D244,$D245),Producer!$R$2)+10),5)),"")</f>
        <v/>
      </c>
      <c r="E246" s="146" t="str">
        <f t="shared" si="85"/>
        <v/>
      </c>
      <c r="F246" s="146"/>
      <c r="G246" s="147" t="str">
        <f>_xlfn.IFNA(VALUE(INDEX(Producer!$F:$F,MATCH($D246,Producer!$A:$A,0)))*100,"")</f>
        <v/>
      </c>
      <c r="H246" s="216" t="str">
        <f>_xlfn.IFNA(IFERROR(DATEVALUE(INDEX(Producer!$M:$M,MATCH($D246,Producer!$A:$A,0))),(INDEX(Producer!$M:$M,MATCH($D246,Producer!$A:$A,0)))),"")</f>
        <v/>
      </c>
      <c r="I246" s="217" t="str">
        <f>_xlfn.IFNA(VALUE(INDEX(Producer!$B:$B,MATCH($D246,Producer!$A:$A,0)))*12,"")</f>
        <v/>
      </c>
      <c r="J246" s="146" t="str">
        <f>_xlfn.IFNA(IF(C246="Residential",IF(VALUE(INDEX(Producer!$B:$B,MATCH($D246,Producer!$A:$A,0)))&lt;5,Constants!$C$10,""),IF(VALUE(INDEX(Producer!$B:$B,MATCH($D246,Producer!$A:$A,0)))&lt;5,Constants!$C$11,"")),"")</f>
        <v/>
      </c>
      <c r="K246" s="216" t="str">
        <f>_xlfn.IFNA(IF(($I246)&lt;60,DATE(YEAR(H246)+(5-VALUE(INDEX(Producer!$B:$B,MATCH($D246,Producer!$A:$A,0)))),MONTH(H246),DAY(H246)),""),"")</f>
        <v/>
      </c>
      <c r="L246" s="153" t="str">
        <f t="shared" si="86"/>
        <v/>
      </c>
      <c r="M246" s="146"/>
      <c r="N246" s="148"/>
      <c r="O246" s="148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6"/>
      <c r="AK246" s="146" t="str">
        <f>IF(D246="","",IF(C246="Residential",Constants!$B$10,Constants!$B$11))</f>
        <v/>
      </c>
      <c r="AL246" s="146" t="str">
        <f t="shared" si="87"/>
        <v/>
      </c>
      <c r="AM246" s="206" t="str">
        <f t="shared" si="88"/>
        <v/>
      </c>
      <c r="AN246" s="146" t="str">
        <f t="shared" si="89"/>
        <v/>
      </c>
      <c r="AO246" s="149" t="str">
        <f t="shared" si="90"/>
        <v/>
      </c>
      <c r="AP246" s="150" t="str">
        <f t="shared" si="91"/>
        <v/>
      </c>
      <c r="AQ246" s="146" t="str">
        <f>IFERROR(_xlfn.IFNA(IF($BA246="No",0,IF(INDEX(Constants!B:B,MATCH(($I246/12),Constants!$A:$A,0))=0,0,INDEX(Constants!B:B,MATCH(($I246/12),Constants!$A:$A,0)))),0),"")</f>
        <v/>
      </c>
      <c r="AR246" s="146" t="str">
        <f>IFERROR(_xlfn.IFNA(IF($BA246="No",0,IF(INDEX(Constants!C:C,MATCH(($I246/12),Constants!$A:$A,0))=0,0,INDEX(Constants!C:C,MATCH(($I246/12),Constants!$A:$A,0)))),0),"")</f>
        <v/>
      </c>
      <c r="AS246" s="146" t="str">
        <f>IFERROR(_xlfn.IFNA(IF($BA246="No",0,IF(INDEX(Constants!D:D,MATCH(($I246/12),Constants!$A:$A,0))=0,0,INDEX(Constants!D:D,MATCH(($I246/12),Constants!$A:$A,0)))),0),"")</f>
        <v/>
      </c>
      <c r="AT246" s="146" t="str">
        <f>IFERROR(_xlfn.IFNA(IF($BA246="No",0,IF(INDEX(Constants!E:E,MATCH(($I246/12),Constants!$A:$A,0))=0,0,INDEX(Constants!E:E,MATCH(($I246/12),Constants!$A:$A,0)))),0),"")</f>
        <v/>
      </c>
      <c r="AU246" s="146" t="str">
        <f>IFERROR(_xlfn.IFNA(IF($BA246="No",0,IF(INDEX(Constants!F:F,MATCH(($I246/12),Constants!$A:$A,0))=0,0,INDEX(Constants!F:F,MATCH(($I246/12),Constants!$A:$A,0)))),0),"")</f>
        <v/>
      </c>
      <c r="AV246" s="146" t="str">
        <f>IFERROR(_xlfn.IFNA(IF($BA246="No",0,IF(INDEX(Constants!G:G,MATCH(($I246/12),Constants!$A:$A,0))=0,0,INDEX(Constants!G:G,MATCH(($I246/12),Constants!$A:$A,0)))),0),"")</f>
        <v/>
      </c>
      <c r="AW246" s="146" t="str">
        <f>IFERROR(_xlfn.IFNA(IF($BA246="No",0,IF(INDEX(Constants!H:H,MATCH(($I246/12),Constants!$A:$A,0))=0,0,INDEX(Constants!H:H,MATCH(($I246/12),Constants!$A:$A,0)))),0),"")</f>
        <v/>
      </c>
      <c r="AX246" s="146" t="str">
        <f>IFERROR(_xlfn.IFNA(IF($BA246="No",0,IF(INDEX(Constants!I:I,MATCH(($I246/12),Constants!$A:$A,0))=0,0,INDEX(Constants!I:I,MATCH(($I246/12),Constants!$A:$A,0)))),0),"")</f>
        <v/>
      </c>
      <c r="AY246" s="146" t="str">
        <f>IFERROR(_xlfn.IFNA(IF($BA246="No",0,IF(INDEX(Constants!J:J,MATCH(($I246/12),Constants!$A:$A,0))=0,0,INDEX(Constants!J:J,MATCH(($I246/12),Constants!$A:$A,0)))),0),"")</f>
        <v/>
      </c>
      <c r="AZ246" s="146" t="str">
        <f>IFERROR(_xlfn.IFNA(IF($BA246="No",0,IF(INDEX(Constants!K:K,MATCH(($I246/12),Constants!$A:$A,0))=0,0,INDEX(Constants!K:K,MATCH(($I246/12),Constants!$A:$A,0)))),0),"")</f>
        <v/>
      </c>
      <c r="BA246" s="147" t="str">
        <f>_xlfn.IFNA(INDEX(Producer!$L:$L,MATCH($D246,Producer!$A:$A,0)),"")</f>
        <v/>
      </c>
      <c r="BB246" s="146" t="str">
        <f>IFERROR(IF(AQ246=0,"",IF(($I246/12)=15,_xlfn.CONCAT(Constants!$N$7,TEXT(DATE(YEAR(H246)-(($I246/12)-3),MONTH(H246),DAY(H246)),"dd/mm/yyyy"),", ",Constants!$P$7,TEXT(DATE(YEAR(H246)-(($I246/12)-8),MONTH(H246),DAY(H246)),"dd/mm/yyyy"),", ",Constants!$T$7,TEXT(DATE(YEAR(H246)-(($I246/12)-11),MONTH(H246),DAY(H246)),"dd/mm/yyyy"),", ",Constants!$V$7,TEXT(DATE(YEAR(H246)-(($I246/12)-13),MONTH(H246),DAY(H246)),"dd/mm/yyyy"),", ",Constants!$W$7,TEXT($H246,"dd/mm/yyyy")),IF(($I246/12)=10,_xlfn.CONCAT(Constants!$N$6,TEXT(DATE(YEAR(H246)-(($I246/12)-2),MONTH(H246),DAY(H246)),"dd/mm/yyyy"),", ",Constants!$P$6,TEXT(DATE(YEAR(H246)-(($I246/12)-6),MONTH(H246),DAY(H246)),"dd/mm/yyyy"),", ",Constants!$T$6,TEXT(DATE(YEAR(H246)-(($I246/12)-8),MONTH(H246),DAY(H246)),"dd/mm/yyyy"),", ",Constants!$V$6,TEXT(DATE(YEAR(H246)-(($I246/12)-9),MONTH(H246),DAY(H246)),"dd/mm/yyyy"),", ",Constants!$W$6,TEXT($H246,"dd/mm/yyyy")),IF(($I246/12)=5,_xlfn.CONCAT(Constants!$N$5,TEXT(DATE(YEAR(H246)-(($I246/12)-1),MONTH(H246),DAY(H246)),"dd/mm/yyyy"),", ",Constants!$O$5,TEXT(DATE(YEAR(H246)-(($I246/12)-2),MONTH(H246),DAY(H246)),"dd/mm/yyyy"),", ",Constants!$P$5,TEXT(DATE(YEAR(H246)-(($I246/12)-3),MONTH(H246),DAY(H246)),"dd/mm/yyyy"),", ",Constants!$Q$5,TEXT(DATE(YEAR(H246)-(($I246/12)-4),MONTH(H246),DAY(H246)),"dd/mm/yyyy"),", ",Constants!$R$5,TEXT($H246,"dd/mm/yyyy")),IF(($I246/12)=3,_xlfn.CONCAT(Constants!$N$4,TEXT(DATE(YEAR(H246)-(($I246/12)-1),MONTH(H246),DAY(H246)),"dd/mm/yyyy"),", ",Constants!$O$4,TEXT(DATE(YEAR(H246)-(($I246/12)-2),MONTH(H246),DAY(H246)),"dd/mm/yyyy"),", ",Constants!$P$4,TEXT($H246,"dd/mm/yyyy")),IF(($I246/12)=2,_xlfn.CONCAT(Constants!$N$3,TEXT(DATE(YEAR(H246)-(($I246/12)-1),MONTH(H246),DAY(H246)),"dd/mm/yyyy"),", ",Constants!$O$3,TEXT($H246,"dd/mm/yyyy")),IF(($I246/12)=1,_xlfn.CONCAT(Constants!$N$2,TEXT($H246,"dd/mm/yyyy")),"Update Constants"))))))),"")</f>
        <v/>
      </c>
      <c r="BC246" s="147" t="str">
        <f>_xlfn.IFNA(VALUE(INDEX(Producer!$K:$K,MATCH($D246,Producer!$A:$A,0))),"")</f>
        <v/>
      </c>
      <c r="BD246" s="147" t="str">
        <f>_xlfn.IFNA(INDEX(Producer!$I:$I,MATCH($D246,Producer!$A:$A,0)),"")</f>
        <v/>
      </c>
      <c r="BE246" s="147" t="str">
        <f t="shared" si="92"/>
        <v/>
      </c>
      <c r="BF246" s="147"/>
      <c r="BG246" s="147"/>
      <c r="BH246" s="151" t="str">
        <f>_xlfn.IFNA(INDEX(Constants!$B:$B,MATCH(BC246,Constants!A:A,0)),"")</f>
        <v/>
      </c>
      <c r="BI246" s="147" t="str">
        <f>IF(LEFT(B246,15)="Limited Company",Constants!$D$16,IFERROR(_xlfn.IFNA(IF(C246="Residential",IF(BK246&lt;75,INDEX(Constants!$B:$B,MATCH(VALUE(60)/100,Constants!$A:$A,0)),INDEX(Constants!$B:$B,MATCH(VALUE(BK246)/100,Constants!$A:$A,0))),IF(BK246&lt;60,INDEX(Constants!$C:$C,MATCH(VALUE(60)/100,Constants!$A:$A,0)),INDEX(Constants!$C:$C,MATCH(VALUE(BK246)/100,Constants!$A:$A,0)))),""),""))</f>
        <v/>
      </c>
      <c r="BJ246" s="147" t="str">
        <f t="shared" si="93"/>
        <v/>
      </c>
      <c r="BK246" s="147" t="str">
        <f>_xlfn.IFNA(VALUE(INDEX(Producer!$E:$E,MATCH($D246,Producer!$A:$A,0)))*100,"")</f>
        <v/>
      </c>
      <c r="BL246" s="146" t="str">
        <f>_xlfn.IFNA(IF(IFERROR(FIND("Part &amp; Part",B246),-10)&gt;0,"PP",IF(OR(LEFT(B246,25)="Residential Interest Only",INDEX(Producer!$P:$P,MATCH($D246,Producer!$A:$A,0))="IO",INDEX(Producer!$P:$P,MATCH($D246,Producer!$A:$A,0))="Retirement Interest Only"),"IO",IF($C246="BuyToLet","CI, IO","CI"))),"")</f>
        <v/>
      </c>
      <c r="BM246" s="152" t="str">
        <f>_xlfn.IFNA(IF(BL246="IO",100%,IF(AND(INDEX(Producer!$P:$P,MATCH($D246,Producer!$A:$A,0))="Residential Interest Only Part &amp; Part",BK246=75),80%,IF(C246="BuyToLet",100%,IF(BL246="Interest Only",100%,IF(AND(INDEX(Producer!$P:$P,MATCH($D246,Producer!$A:$A,0))="Residential Interest Only Part &amp; Part",BK246=60),100%,""))))),"")</f>
        <v/>
      </c>
      <c r="BN246" s="218" t="str">
        <f>_xlfn.IFNA(IF(VALUE(INDEX(Producer!$H:$H,MATCH($D246,Producer!$A:$A,0)))=0,"",VALUE(INDEX(Producer!$H:$H,MATCH($D246,Producer!$A:$A,0)))),"")</f>
        <v/>
      </c>
      <c r="BO246" s="153"/>
      <c r="BP246" s="153"/>
      <c r="BQ246" s="219" t="str">
        <f t="shared" si="94"/>
        <v/>
      </c>
      <c r="BR246" s="146"/>
      <c r="BS246" s="146"/>
      <c r="BT246" s="146"/>
      <c r="BU246" s="146"/>
      <c r="BV246" s="219" t="str">
        <f t="shared" si="95"/>
        <v/>
      </c>
      <c r="BW246" s="146"/>
      <c r="BX246" s="146"/>
      <c r="BY246" s="146" t="str">
        <f t="shared" si="96"/>
        <v/>
      </c>
      <c r="BZ246" s="146" t="str">
        <f t="shared" si="97"/>
        <v/>
      </c>
      <c r="CA246" s="146" t="str">
        <f t="shared" si="98"/>
        <v/>
      </c>
      <c r="CB246" s="146" t="str">
        <f t="shared" si="99"/>
        <v/>
      </c>
      <c r="CC246" s="146" t="str">
        <f>_xlfn.IFNA(IF(INDEX(Producer!$P:$P,MATCH($D246,Producer!$A:$A,0))="Help to Buy","Only available","No"),"")</f>
        <v/>
      </c>
      <c r="CD246" s="146" t="str">
        <f>_xlfn.IFNA(IF(INDEX(Producer!$P:$P,MATCH($D246,Producer!$A:$A,0))="Shared Ownership","Only available","No"),"")</f>
        <v/>
      </c>
      <c r="CE246" s="146" t="str">
        <f>_xlfn.IFNA(IF(INDEX(Producer!$P:$P,MATCH($D246,Producer!$A:$A,0))="Right to Buy","Only available","No"),"")</f>
        <v/>
      </c>
      <c r="CF246" s="146" t="str">
        <f t="shared" si="100"/>
        <v/>
      </c>
      <c r="CG246" s="146" t="str">
        <f>_xlfn.IFNA(IF(INDEX(Producer!$P:$P,MATCH($D246,Producer!$A:$A,0))="Retirement Interest Only","Only available","No"),"")</f>
        <v/>
      </c>
      <c r="CH246" s="146" t="str">
        <f t="shared" si="101"/>
        <v/>
      </c>
      <c r="CI246" s="146" t="str">
        <f>_xlfn.IFNA(IF(INDEX(Producer!$P:$P,MATCH($D246,Producer!$A:$A,0))="Intermediary Holiday Let","Only available","No"),"")</f>
        <v/>
      </c>
      <c r="CJ246" s="146" t="str">
        <f t="shared" si="102"/>
        <v/>
      </c>
      <c r="CK246" s="146" t="str">
        <f>_xlfn.IFNA(IF(OR(INDEX(Producer!$P:$P,MATCH($D246,Producer!$A:$A,0))="Intermediary Small HMO",INDEX(Producer!$P:$P,MATCH($D246,Producer!$A:$A,0))="Intermediary Large HMO"),"Only available","No"),"")</f>
        <v/>
      </c>
      <c r="CL246" s="146" t="str">
        <f t="shared" si="103"/>
        <v/>
      </c>
      <c r="CM246" s="146" t="str">
        <f t="shared" si="104"/>
        <v/>
      </c>
      <c r="CN246" s="146" t="str">
        <f t="shared" si="105"/>
        <v/>
      </c>
      <c r="CO246" s="146" t="str">
        <f t="shared" si="106"/>
        <v/>
      </c>
      <c r="CP246" s="146" t="str">
        <f t="shared" si="107"/>
        <v/>
      </c>
      <c r="CQ246" s="146" t="str">
        <f t="shared" si="108"/>
        <v/>
      </c>
      <c r="CR246" s="146" t="str">
        <f t="shared" si="109"/>
        <v/>
      </c>
      <c r="CS246" s="146" t="str">
        <f t="shared" si="110"/>
        <v/>
      </c>
      <c r="CT246" s="146" t="str">
        <f t="shared" si="111"/>
        <v/>
      </c>
      <c r="CU246" s="146"/>
    </row>
    <row r="247" spans="1:99" ht="16.399999999999999" customHeight="1" x14ac:dyDescent="0.35">
      <c r="A247" s="145" t="str">
        <f t="shared" si="84"/>
        <v/>
      </c>
      <c r="B247" s="145" t="str">
        <f>_xlfn.IFNA(_xlfn.CONCAT(INDEX(Producer!$P:$P,MATCH($D247,Producer!$A:$A,0))," ",IF(INDEX(Producer!$N:$N,MATCH($D247,Producer!$A:$A,0))="Yes","Green ",""),IF(AND(INDEX(Producer!$L:$L,MATCH($D247,Producer!$A:$A,0))="No",INDEX(Producer!$C:$C,MATCH($D247,Producer!$A:$A,0))="Fixed"),"Flexit ",""),INDEX(Producer!$B:$B,MATCH($D247,Producer!$A:$A,0))," Year ",INDEX(Producer!$C:$C,MATCH($D247,Producer!$A:$A,0))," ",VALUE(INDEX(Producer!$E:$E,MATCH($D247,Producer!$A:$A,0)))*100,"% LTV",IF(INDEX(Producer!$N:$N,MATCH($D247,Producer!$A:$A,0))="Yes"," (EPC A-C)","")," - ",IF(INDEX(Producer!$D:$D,MATCH($D247,Producer!$A:$A,0))="DLY","Daily","Annual")),"")</f>
        <v/>
      </c>
      <c r="C247" s="146" t="str">
        <f>_xlfn.IFNA(INDEX(Producer!$Q:$Q,MATCH($D247,Producer!$A:$A,0)),"")</f>
        <v/>
      </c>
      <c r="D247" s="146" t="str">
        <f>IFERROR(VALUE(MID(Producer!$R$2,IF($D246="",1/0,FIND(_xlfn.CONCAT($D245,$D246),Producer!$R$2)+10),5)),"")</f>
        <v/>
      </c>
      <c r="E247" s="146" t="str">
        <f t="shared" si="85"/>
        <v/>
      </c>
      <c r="F247" s="146"/>
      <c r="G247" s="147" t="str">
        <f>_xlfn.IFNA(VALUE(INDEX(Producer!$F:$F,MATCH($D247,Producer!$A:$A,0)))*100,"")</f>
        <v/>
      </c>
      <c r="H247" s="216" t="str">
        <f>_xlfn.IFNA(IFERROR(DATEVALUE(INDEX(Producer!$M:$M,MATCH($D247,Producer!$A:$A,0))),(INDEX(Producer!$M:$M,MATCH($D247,Producer!$A:$A,0)))),"")</f>
        <v/>
      </c>
      <c r="I247" s="217" t="str">
        <f>_xlfn.IFNA(VALUE(INDEX(Producer!$B:$B,MATCH($D247,Producer!$A:$A,0)))*12,"")</f>
        <v/>
      </c>
      <c r="J247" s="146" t="str">
        <f>_xlfn.IFNA(IF(C247="Residential",IF(VALUE(INDEX(Producer!$B:$B,MATCH($D247,Producer!$A:$A,0)))&lt;5,Constants!$C$10,""),IF(VALUE(INDEX(Producer!$B:$B,MATCH($D247,Producer!$A:$A,0)))&lt;5,Constants!$C$11,"")),"")</f>
        <v/>
      </c>
      <c r="K247" s="216" t="str">
        <f>_xlfn.IFNA(IF(($I247)&lt;60,DATE(YEAR(H247)+(5-VALUE(INDEX(Producer!$B:$B,MATCH($D247,Producer!$A:$A,0)))),MONTH(H247),DAY(H247)),""),"")</f>
        <v/>
      </c>
      <c r="L247" s="153" t="str">
        <f t="shared" si="86"/>
        <v/>
      </c>
      <c r="M247" s="146"/>
      <c r="N247" s="148"/>
      <c r="O247" s="148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  <c r="AB247" s="146"/>
      <c r="AC247" s="146"/>
      <c r="AD247" s="146"/>
      <c r="AE247" s="146"/>
      <c r="AF247" s="146"/>
      <c r="AG247" s="146"/>
      <c r="AH247" s="146"/>
      <c r="AI247" s="146"/>
      <c r="AJ247" s="146"/>
      <c r="AK247" s="146" t="str">
        <f>IF(D247="","",IF(C247="Residential",Constants!$B$10,Constants!$B$11))</f>
        <v/>
      </c>
      <c r="AL247" s="146" t="str">
        <f t="shared" si="87"/>
        <v/>
      </c>
      <c r="AM247" s="206" t="str">
        <f t="shared" si="88"/>
        <v/>
      </c>
      <c r="AN247" s="146" t="str">
        <f t="shared" si="89"/>
        <v/>
      </c>
      <c r="AO247" s="149" t="str">
        <f t="shared" si="90"/>
        <v/>
      </c>
      <c r="AP247" s="150" t="str">
        <f t="shared" si="91"/>
        <v/>
      </c>
      <c r="AQ247" s="146" t="str">
        <f>IFERROR(_xlfn.IFNA(IF($BA247="No",0,IF(INDEX(Constants!B:B,MATCH(($I247/12),Constants!$A:$A,0))=0,0,INDEX(Constants!B:B,MATCH(($I247/12),Constants!$A:$A,0)))),0),"")</f>
        <v/>
      </c>
      <c r="AR247" s="146" t="str">
        <f>IFERROR(_xlfn.IFNA(IF($BA247="No",0,IF(INDEX(Constants!C:C,MATCH(($I247/12),Constants!$A:$A,0))=0,0,INDEX(Constants!C:C,MATCH(($I247/12),Constants!$A:$A,0)))),0),"")</f>
        <v/>
      </c>
      <c r="AS247" s="146" t="str">
        <f>IFERROR(_xlfn.IFNA(IF($BA247="No",0,IF(INDEX(Constants!D:D,MATCH(($I247/12),Constants!$A:$A,0))=0,0,INDEX(Constants!D:D,MATCH(($I247/12),Constants!$A:$A,0)))),0),"")</f>
        <v/>
      </c>
      <c r="AT247" s="146" t="str">
        <f>IFERROR(_xlfn.IFNA(IF($BA247="No",0,IF(INDEX(Constants!E:E,MATCH(($I247/12),Constants!$A:$A,0))=0,0,INDEX(Constants!E:E,MATCH(($I247/12),Constants!$A:$A,0)))),0),"")</f>
        <v/>
      </c>
      <c r="AU247" s="146" t="str">
        <f>IFERROR(_xlfn.IFNA(IF($BA247="No",0,IF(INDEX(Constants!F:F,MATCH(($I247/12),Constants!$A:$A,0))=0,0,INDEX(Constants!F:F,MATCH(($I247/12),Constants!$A:$A,0)))),0),"")</f>
        <v/>
      </c>
      <c r="AV247" s="146" t="str">
        <f>IFERROR(_xlfn.IFNA(IF($BA247="No",0,IF(INDEX(Constants!G:G,MATCH(($I247/12),Constants!$A:$A,0))=0,0,INDEX(Constants!G:G,MATCH(($I247/12),Constants!$A:$A,0)))),0),"")</f>
        <v/>
      </c>
      <c r="AW247" s="146" t="str">
        <f>IFERROR(_xlfn.IFNA(IF($BA247="No",0,IF(INDEX(Constants!H:H,MATCH(($I247/12),Constants!$A:$A,0))=0,0,INDEX(Constants!H:H,MATCH(($I247/12),Constants!$A:$A,0)))),0),"")</f>
        <v/>
      </c>
      <c r="AX247" s="146" t="str">
        <f>IFERROR(_xlfn.IFNA(IF($BA247="No",0,IF(INDEX(Constants!I:I,MATCH(($I247/12),Constants!$A:$A,0))=0,0,INDEX(Constants!I:I,MATCH(($I247/12),Constants!$A:$A,0)))),0),"")</f>
        <v/>
      </c>
      <c r="AY247" s="146" t="str">
        <f>IFERROR(_xlfn.IFNA(IF($BA247="No",0,IF(INDEX(Constants!J:J,MATCH(($I247/12),Constants!$A:$A,0))=0,0,INDEX(Constants!J:J,MATCH(($I247/12),Constants!$A:$A,0)))),0),"")</f>
        <v/>
      </c>
      <c r="AZ247" s="146" t="str">
        <f>IFERROR(_xlfn.IFNA(IF($BA247="No",0,IF(INDEX(Constants!K:K,MATCH(($I247/12),Constants!$A:$A,0))=0,0,INDEX(Constants!K:K,MATCH(($I247/12),Constants!$A:$A,0)))),0),"")</f>
        <v/>
      </c>
      <c r="BA247" s="147" t="str">
        <f>_xlfn.IFNA(INDEX(Producer!$L:$L,MATCH($D247,Producer!$A:$A,0)),"")</f>
        <v/>
      </c>
      <c r="BB247" s="146" t="str">
        <f>IFERROR(IF(AQ247=0,"",IF(($I247/12)=15,_xlfn.CONCAT(Constants!$N$7,TEXT(DATE(YEAR(H247)-(($I247/12)-3),MONTH(H247),DAY(H247)),"dd/mm/yyyy"),", ",Constants!$P$7,TEXT(DATE(YEAR(H247)-(($I247/12)-8),MONTH(H247),DAY(H247)),"dd/mm/yyyy"),", ",Constants!$T$7,TEXT(DATE(YEAR(H247)-(($I247/12)-11),MONTH(H247),DAY(H247)),"dd/mm/yyyy"),", ",Constants!$V$7,TEXT(DATE(YEAR(H247)-(($I247/12)-13),MONTH(H247),DAY(H247)),"dd/mm/yyyy"),", ",Constants!$W$7,TEXT($H247,"dd/mm/yyyy")),IF(($I247/12)=10,_xlfn.CONCAT(Constants!$N$6,TEXT(DATE(YEAR(H247)-(($I247/12)-2),MONTH(H247),DAY(H247)),"dd/mm/yyyy"),", ",Constants!$P$6,TEXT(DATE(YEAR(H247)-(($I247/12)-6),MONTH(H247),DAY(H247)),"dd/mm/yyyy"),", ",Constants!$T$6,TEXT(DATE(YEAR(H247)-(($I247/12)-8),MONTH(H247),DAY(H247)),"dd/mm/yyyy"),", ",Constants!$V$6,TEXT(DATE(YEAR(H247)-(($I247/12)-9),MONTH(H247),DAY(H247)),"dd/mm/yyyy"),", ",Constants!$W$6,TEXT($H247,"dd/mm/yyyy")),IF(($I247/12)=5,_xlfn.CONCAT(Constants!$N$5,TEXT(DATE(YEAR(H247)-(($I247/12)-1),MONTH(H247),DAY(H247)),"dd/mm/yyyy"),", ",Constants!$O$5,TEXT(DATE(YEAR(H247)-(($I247/12)-2),MONTH(H247),DAY(H247)),"dd/mm/yyyy"),", ",Constants!$P$5,TEXT(DATE(YEAR(H247)-(($I247/12)-3),MONTH(H247),DAY(H247)),"dd/mm/yyyy"),", ",Constants!$Q$5,TEXT(DATE(YEAR(H247)-(($I247/12)-4),MONTH(H247),DAY(H247)),"dd/mm/yyyy"),", ",Constants!$R$5,TEXT($H247,"dd/mm/yyyy")),IF(($I247/12)=3,_xlfn.CONCAT(Constants!$N$4,TEXT(DATE(YEAR(H247)-(($I247/12)-1),MONTH(H247),DAY(H247)),"dd/mm/yyyy"),", ",Constants!$O$4,TEXT(DATE(YEAR(H247)-(($I247/12)-2),MONTH(H247),DAY(H247)),"dd/mm/yyyy"),", ",Constants!$P$4,TEXT($H247,"dd/mm/yyyy")),IF(($I247/12)=2,_xlfn.CONCAT(Constants!$N$3,TEXT(DATE(YEAR(H247)-(($I247/12)-1),MONTH(H247),DAY(H247)),"dd/mm/yyyy"),", ",Constants!$O$3,TEXT($H247,"dd/mm/yyyy")),IF(($I247/12)=1,_xlfn.CONCAT(Constants!$N$2,TEXT($H247,"dd/mm/yyyy")),"Update Constants"))))))),"")</f>
        <v/>
      </c>
      <c r="BC247" s="147" t="str">
        <f>_xlfn.IFNA(VALUE(INDEX(Producer!$K:$K,MATCH($D247,Producer!$A:$A,0))),"")</f>
        <v/>
      </c>
      <c r="BD247" s="147" t="str">
        <f>_xlfn.IFNA(INDEX(Producer!$I:$I,MATCH($D247,Producer!$A:$A,0)),"")</f>
        <v/>
      </c>
      <c r="BE247" s="147" t="str">
        <f t="shared" si="92"/>
        <v/>
      </c>
      <c r="BF247" s="147"/>
      <c r="BG247" s="147"/>
      <c r="BH247" s="151" t="str">
        <f>_xlfn.IFNA(INDEX(Constants!$B:$B,MATCH(BC247,Constants!A:A,0)),"")</f>
        <v/>
      </c>
      <c r="BI247" s="147" t="str">
        <f>IF(LEFT(B247,15)="Limited Company",Constants!$D$16,IFERROR(_xlfn.IFNA(IF(C247="Residential",IF(BK247&lt;75,INDEX(Constants!$B:$B,MATCH(VALUE(60)/100,Constants!$A:$A,0)),INDEX(Constants!$B:$B,MATCH(VALUE(BK247)/100,Constants!$A:$A,0))),IF(BK247&lt;60,INDEX(Constants!$C:$C,MATCH(VALUE(60)/100,Constants!$A:$A,0)),INDEX(Constants!$C:$C,MATCH(VALUE(BK247)/100,Constants!$A:$A,0)))),""),""))</f>
        <v/>
      </c>
      <c r="BJ247" s="147" t="str">
        <f t="shared" si="93"/>
        <v/>
      </c>
      <c r="BK247" s="147" t="str">
        <f>_xlfn.IFNA(VALUE(INDEX(Producer!$E:$E,MATCH($D247,Producer!$A:$A,0)))*100,"")</f>
        <v/>
      </c>
      <c r="BL247" s="146" t="str">
        <f>_xlfn.IFNA(IF(IFERROR(FIND("Part &amp; Part",B247),-10)&gt;0,"PP",IF(OR(LEFT(B247,25)="Residential Interest Only",INDEX(Producer!$P:$P,MATCH($D247,Producer!$A:$A,0))="IO",INDEX(Producer!$P:$P,MATCH($D247,Producer!$A:$A,0))="Retirement Interest Only"),"IO",IF($C247="BuyToLet","CI, IO","CI"))),"")</f>
        <v/>
      </c>
      <c r="BM247" s="152" t="str">
        <f>_xlfn.IFNA(IF(BL247="IO",100%,IF(AND(INDEX(Producer!$P:$P,MATCH($D247,Producer!$A:$A,0))="Residential Interest Only Part &amp; Part",BK247=75),80%,IF(C247="BuyToLet",100%,IF(BL247="Interest Only",100%,IF(AND(INDEX(Producer!$P:$P,MATCH($D247,Producer!$A:$A,0))="Residential Interest Only Part &amp; Part",BK247=60),100%,""))))),"")</f>
        <v/>
      </c>
      <c r="BN247" s="218" t="str">
        <f>_xlfn.IFNA(IF(VALUE(INDEX(Producer!$H:$H,MATCH($D247,Producer!$A:$A,0)))=0,"",VALUE(INDEX(Producer!$H:$H,MATCH($D247,Producer!$A:$A,0)))),"")</f>
        <v/>
      </c>
      <c r="BO247" s="153"/>
      <c r="BP247" s="153"/>
      <c r="BQ247" s="219" t="str">
        <f t="shared" si="94"/>
        <v/>
      </c>
      <c r="BR247" s="146"/>
      <c r="BS247" s="146"/>
      <c r="BT247" s="146"/>
      <c r="BU247" s="146"/>
      <c r="BV247" s="219" t="str">
        <f t="shared" si="95"/>
        <v/>
      </c>
      <c r="BW247" s="146"/>
      <c r="BX247" s="146"/>
      <c r="BY247" s="146" t="str">
        <f t="shared" si="96"/>
        <v/>
      </c>
      <c r="BZ247" s="146" t="str">
        <f t="shared" si="97"/>
        <v/>
      </c>
      <c r="CA247" s="146" t="str">
        <f t="shared" si="98"/>
        <v/>
      </c>
      <c r="CB247" s="146" t="str">
        <f t="shared" si="99"/>
        <v/>
      </c>
      <c r="CC247" s="146" t="str">
        <f>_xlfn.IFNA(IF(INDEX(Producer!$P:$P,MATCH($D247,Producer!$A:$A,0))="Help to Buy","Only available","No"),"")</f>
        <v/>
      </c>
      <c r="CD247" s="146" t="str">
        <f>_xlfn.IFNA(IF(INDEX(Producer!$P:$P,MATCH($D247,Producer!$A:$A,0))="Shared Ownership","Only available","No"),"")</f>
        <v/>
      </c>
      <c r="CE247" s="146" t="str">
        <f>_xlfn.IFNA(IF(INDEX(Producer!$P:$P,MATCH($D247,Producer!$A:$A,0))="Right to Buy","Only available","No"),"")</f>
        <v/>
      </c>
      <c r="CF247" s="146" t="str">
        <f t="shared" si="100"/>
        <v/>
      </c>
      <c r="CG247" s="146" t="str">
        <f>_xlfn.IFNA(IF(INDEX(Producer!$P:$P,MATCH($D247,Producer!$A:$A,0))="Retirement Interest Only","Only available","No"),"")</f>
        <v/>
      </c>
      <c r="CH247" s="146" t="str">
        <f t="shared" si="101"/>
        <v/>
      </c>
      <c r="CI247" s="146" t="str">
        <f>_xlfn.IFNA(IF(INDEX(Producer!$P:$P,MATCH($D247,Producer!$A:$A,0))="Intermediary Holiday Let","Only available","No"),"")</f>
        <v/>
      </c>
      <c r="CJ247" s="146" t="str">
        <f t="shared" si="102"/>
        <v/>
      </c>
      <c r="CK247" s="146" t="str">
        <f>_xlfn.IFNA(IF(OR(INDEX(Producer!$P:$P,MATCH($D247,Producer!$A:$A,0))="Intermediary Small HMO",INDEX(Producer!$P:$P,MATCH($D247,Producer!$A:$A,0))="Intermediary Large HMO"),"Only available","No"),"")</f>
        <v/>
      </c>
      <c r="CL247" s="146" t="str">
        <f t="shared" si="103"/>
        <v/>
      </c>
      <c r="CM247" s="146" t="str">
        <f t="shared" si="104"/>
        <v/>
      </c>
      <c r="CN247" s="146" t="str">
        <f t="shared" si="105"/>
        <v/>
      </c>
      <c r="CO247" s="146" t="str">
        <f t="shared" si="106"/>
        <v/>
      </c>
      <c r="CP247" s="146" t="str">
        <f t="shared" si="107"/>
        <v/>
      </c>
      <c r="CQ247" s="146" t="str">
        <f t="shared" si="108"/>
        <v/>
      </c>
      <c r="CR247" s="146" t="str">
        <f t="shared" si="109"/>
        <v/>
      </c>
      <c r="CS247" s="146" t="str">
        <f t="shared" si="110"/>
        <v/>
      </c>
      <c r="CT247" s="146" t="str">
        <f t="shared" si="111"/>
        <v/>
      </c>
      <c r="CU247" s="146"/>
    </row>
    <row r="248" spans="1:99" ht="16.399999999999999" customHeight="1" x14ac:dyDescent="0.35">
      <c r="A248" s="145" t="str">
        <f t="shared" si="84"/>
        <v/>
      </c>
      <c r="B248" s="145" t="str">
        <f>_xlfn.IFNA(_xlfn.CONCAT(INDEX(Producer!$P:$P,MATCH($D248,Producer!$A:$A,0))," ",IF(INDEX(Producer!$N:$N,MATCH($D248,Producer!$A:$A,0))="Yes","Green ",""),IF(AND(INDEX(Producer!$L:$L,MATCH($D248,Producer!$A:$A,0))="No",INDEX(Producer!$C:$C,MATCH($D248,Producer!$A:$A,0))="Fixed"),"Flexit ",""),INDEX(Producer!$B:$B,MATCH($D248,Producer!$A:$A,0))," Year ",INDEX(Producer!$C:$C,MATCH($D248,Producer!$A:$A,0))," ",VALUE(INDEX(Producer!$E:$E,MATCH($D248,Producer!$A:$A,0)))*100,"% LTV",IF(INDEX(Producer!$N:$N,MATCH($D248,Producer!$A:$A,0))="Yes"," (EPC A-C)","")," - ",IF(INDEX(Producer!$D:$D,MATCH($D248,Producer!$A:$A,0))="DLY","Daily","Annual")),"")</f>
        <v/>
      </c>
      <c r="C248" s="146" t="str">
        <f>_xlfn.IFNA(INDEX(Producer!$Q:$Q,MATCH($D248,Producer!$A:$A,0)),"")</f>
        <v/>
      </c>
      <c r="D248" s="146" t="str">
        <f>IFERROR(VALUE(MID(Producer!$R$2,IF($D247="",1/0,FIND(_xlfn.CONCAT($D246,$D247),Producer!$R$2)+10),5)),"")</f>
        <v/>
      </c>
      <c r="E248" s="146" t="str">
        <f t="shared" si="85"/>
        <v/>
      </c>
      <c r="F248" s="146"/>
      <c r="G248" s="147" t="str">
        <f>_xlfn.IFNA(VALUE(INDEX(Producer!$F:$F,MATCH($D248,Producer!$A:$A,0)))*100,"")</f>
        <v/>
      </c>
      <c r="H248" s="216" t="str">
        <f>_xlfn.IFNA(IFERROR(DATEVALUE(INDEX(Producer!$M:$M,MATCH($D248,Producer!$A:$A,0))),(INDEX(Producer!$M:$M,MATCH($D248,Producer!$A:$A,0)))),"")</f>
        <v/>
      </c>
      <c r="I248" s="217" t="str">
        <f>_xlfn.IFNA(VALUE(INDEX(Producer!$B:$B,MATCH($D248,Producer!$A:$A,0)))*12,"")</f>
        <v/>
      </c>
      <c r="J248" s="146" t="str">
        <f>_xlfn.IFNA(IF(C248="Residential",IF(VALUE(INDEX(Producer!$B:$B,MATCH($D248,Producer!$A:$A,0)))&lt;5,Constants!$C$10,""),IF(VALUE(INDEX(Producer!$B:$B,MATCH($D248,Producer!$A:$A,0)))&lt;5,Constants!$C$11,"")),"")</f>
        <v/>
      </c>
      <c r="K248" s="216" t="str">
        <f>_xlfn.IFNA(IF(($I248)&lt;60,DATE(YEAR(H248)+(5-VALUE(INDEX(Producer!$B:$B,MATCH($D248,Producer!$A:$A,0)))),MONTH(H248),DAY(H248)),""),"")</f>
        <v/>
      </c>
      <c r="L248" s="153" t="str">
        <f t="shared" si="86"/>
        <v/>
      </c>
      <c r="M248" s="146"/>
      <c r="N248" s="148"/>
      <c r="O248" s="148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 t="str">
        <f>IF(D248="","",IF(C248="Residential",Constants!$B$10,Constants!$B$11))</f>
        <v/>
      </c>
      <c r="AL248" s="146" t="str">
        <f t="shared" si="87"/>
        <v/>
      </c>
      <c r="AM248" s="206" t="str">
        <f t="shared" si="88"/>
        <v/>
      </c>
      <c r="AN248" s="146" t="str">
        <f t="shared" si="89"/>
        <v/>
      </c>
      <c r="AO248" s="149" t="str">
        <f t="shared" si="90"/>
        <v/>
      </c>
      <c r="AP248" s="150" t="str">
        <f t="shared" si="91"/>
        <v/>
      </c>
      <c r="AQ248" s="146" t="str">
        <f>IFERROR(_xlfn.IFNA(IF($BA248="No",0,IF(INDEX(Constants!B:B,MATCH(($I248/12),Constants!$A:$A,0))=0,0,INDEX(Constants!B:B,MATCH(($I248/12),Constants!$A:$A,0)))),0),"")</f>
        <v/>
      </c>
      <c r="AR248" s="146" t="str">
        <f>IFERROR(_xlfn.IFNA(IF($BA248="No",0,IF(INDEX(Constants!C:C,MATCH(($I248/12),Constants!$A:$A,0))=0,0,INDEX(Constants!C:C,MATCH(($I248/12),Constants!$A:$A,0)))),0),"")</f>
        <v/>
      </c>
      <c r="AS248" s="146" t="str">
        <f>IFERROR(_xlfn.IFNA(IF($BA248="No",0,IF(INDEX(Constants!D:D,MATCH(($I248/12),Constants!$A:$A,0))=0,0,INDEX(Constants!D:D,MATCH(($I248/12),Constants!$A:$A,0)))),0),"")</f>
        <v/>
      </c>
      <c r="AT248" s="146" t="str">
        <f>IFERROR(_xlfn.IFNA(IF($BA248="No",0,IF(INDEX(Constants!E:E,MATCH(($I248/12),Constants!$A:$A,0))=0,0,INDEX(Constants!E:E,MATCH(($I248/12),Constants!$A:$A,0)))),0),"")</f>
        <v/>
      </c>
      <c r="AU248" s="146" t="str">
        <f>IFERROR(_xlfn.IFNA(IF($BA248="No",0,IF(INDEX(Constants!F:F,MATCH(($I248/12),Constants!$A:$A,0))=0,0,INDEX(Constants!F:F,MATCH(($I248/12),Constants!$A:$A,0)))),0),"")</f>
        <v/>
      </c>
      <c r="AV248" s="146" t="str">
        <f>IFERROR(_xlfn.IFNA(IF($BA248="No",0,IF(INDEX(Constants!G:G,MATCH(($I248/12),Constants!$A:$A,0))=0,0,INDEX(Constants!G:G,MATCH(($I248/12),Constants!$A:$A,0)))),0),"")</f>
        <v/>
      </c>
      <c r="AW248" s="146" t="str">
        <f>IFERROR(_xlfn.IFNA(IF($BA248="No",0,IF(INDEX(Constants!H:H,MATCH(($I248/12),Constants!$A:$A,0))=0,0,INDEX(Constants!H:H,MATCH(($I248/12),Constants!$A:$A,0)))),0),"")</f>
        <v/>
      </c>
      <c r="AX248" s="146" t="str">
        <f>IFERROR(_xlfn.IFNA(IF($BA248="No",0,IF(INDEX(Constants!I:I,MATCH(($I248/12),Constants!$A:$A,0))=0,0,INDEX(Constants!I:I,MATCH(($I248/12),Constants!$A:$A,0)))),0),"")</f>
        <v/>
      </c>
      <c r="AY248" s="146" t="str">
        <f>IFERROR(_xlfn.IFNA(IF($BA248="No",0,IF(INDEX(Constants!J:J,MATCH(($I248/12),Constants!$A:$A,0))=0,0,INDEX(Constants!J:J,MATCH(($I248/12),Constants!$A:$A,0)))),0),"")</f>
        <v/>
      </c>
      <c r="AZ248" s="146" t="str">
        <f>IFERROR(_xlfn.IFNA(IF($BA248="No",0,IF(INDEX(Constants!K:K,MATCH(($I248/12),Constants!$A:$A,0))=0,0,INDEX(Constants!K:K,MATCH(($I248/12),Constants!$A:$A,0)))),0),"")</f>
        <v/>
      </c>
      <c r="BA248" s="147" t="str">
        <f>_xlfn.IFNA(INDEX(Producer!$L:$L,MATCH($D248,Producer!$A:$A,0)),"")</f>
        <v/>
      </c>
      <c r="BB248" s="146" t="str">
        <f>IFERROR(IF(AQ248=0,"",IF(($I248/12)=15,_xlfn.CONCAT(Constants!$N$7,TEXT(DATE(YEAR(H248)-(($I248/12)-3),MONTH(H248),DAY(H248)),"dd/mm/yyyy"),", ",Constants!$P$7,TEXT(DATE(YEAR(H248)-(($I248/12)-8),MONTH(H248),DAY(H248)),"dd/mm/yyyy"),", ",Constants!$T$7,TEXT(DATE(YEAR(H248)-(($I248/12)-11),MONTH(H248),DAY(H248)),"dd/mm/yyyy"),", ",Constants!$V$7,TEXT(DATE(YEAR(H248)-(($I248/12)-13),MONTH(H248),DAY(H248)),"dd/mm/yyyy"),", ",Constants!$W$7,TEXT($H248,"dd/mm/yyyy")),IF(($I248/12)=10,_xlfn.CONCAT(Constants!$N$6,TEXT(DATE(YEAR(H248)-(($I248/12)-2),MONTH(H248),DAY(H248)),"dd/mm/yyyy"),", ",Constants!$P$6,TEXT(DATE(YEAR(H248)-(($I248/12)-6),MONTH(H248),DAY(H248)),"dd/mm/yyyy"),", ",Constants!$T$6,TEXT(DATE(YEAR(H248)-(($I248/12)-8),MONTH(H248),DAY(H248)),"dd/mm/yyyy"),", ",Constants!$V$6,TEXT(DATE(YEAR(H248)-(($I248/12)-9),MONTH(H248),DAY(H248)),"dd/mm/yyyy"),", ",Constants!$W$6,TEXT($H248,"dd/mm/yyyy")),IF(($I248/12)=5,_xlfn.CONCAT(Constants!$N$5,TEXT(DATE(YEAR(H248)-(($I248/12)-1),MONTH(H248),DAY(H248)),"dd/mm/yyyy"),", ",Constants!$O$5,TEXT(DATE(YEAR(H248)-(($I248/12)-2),MONTH(H248),DAY(H248)),"dd/mm/yyyy"),", ",Constants!$P$5,TEXT(DATE(YEAR(H248)-(($I248/12)-3),MONTH(H248),DAY(H248)),"dd/mm/yyyy"),", ",Constants!$Q$5,TEXT(DATE(YEAR(H248)-(($I248/12)-4),MONTH(H248),DAY(H248)),"dd/mm/yyyy"),", ",Constants!$R$5,TEXT($H248,"dd/mm/yyyy")),IF(($I248/12)=3,_xlfn.CONCAT(Constants!$N$4,TEXT(DATE(YEAR(H248)-(($I248/12)-1),MONTH(H248),DAY(H248)),"dd/mm/yyyy"),", ",Constants!$O$4,TEXT(DATE(YEAR(H248)-(($I248/12)-2),MONTH(H248),DAY(H248)),"dd/mm/yyyy"),", ",Constants!$P$4,TEXT($H248,"dd/mm/yyyy")),IF(($I248/12)=2,_xlfn.CONCAT(Constants!$N$3,TEXT(DATE(YEAR(H248)-(($I248/12)-1),MONTH(H248),DAY(H248)),"dd/mm/yyyy"),", ",Constants!$O$3,TEXT($H248,"dd/mm/yyyy")),IF(($I248/12)=1,_xlfn.CONCAT(Constants!$N$2,TEXT($H248,"dd/mm/yyyy")),"Update Constants"))))))),"")</f>
        <v/>
      </c>
      <c r="BC248" s="147" t="str">
        <f>_xlfn.IFNA(VALUE(INDEX(Producer!$K:$K,MATCH($D248,Producer!$A:$A,0))),"")</f>
        <v/>
      </c>
      <c r="BD248" s="147" t="str">
        <f>_xlfn.IFNA(INDEX(Producer!$I:$I,MATCH($D248,Producer!$A:$A,0)),"")</f>
        <v/>
      </c>
      <c r="BE248" s="147" t="str">
        <f t="shared" si="92"/>
        <v/>
      </c>
      <c r="BF248" s="147"/>
      <c r="BG248" s="147"/>
      <c r="BH248" s="151" t="str">
        <f>_xlfn.IFNA(INDEX(Constants!$B:$B,MATCH(BC248,Constants!A:A,0)),"")</f>
        <v/>
      </c>
      <c r="BI248" s="147" t="str">
        <f>IF(LEFT(B248,15)="Limited Company",Constants!$D$16,IFERROR(_xlfn.IFNA(IF(C248="Residential",IF(BK248&lt;75,INDEX(Constants!$B:$B,MATCH(VALUE(60)/100,Constants!$A:$A,0)),INDEX(Constants!$B:$B,MATCH(VALUE(BK248)/100,Constants!$A:$A,0))),IF(BK248&lt;60,INDEX(Constants!$C:$C,MATCH(VALUE(60)/100,Constants!$A:$A,0)),INDEX(Constants!$C:$C,MATCH(VALUE(BK248)/100,Constants!$A:$A,0)))),""),""))</f>
        <v/>
      </c>
      <c r="BJ248" s="147" t="str">
        <f t="shared" si="93"/>
        <v/>
      </c>
      <c r="BK248" s="147" t="str">
        <f>_xlfn.IFNA(VALUE(INDEX(Producer!$E:$E,MATCH($D248,Producer!$A:$A,0)))*100,"")</f>
        <v/>
      </c>
      <c r="BL248" s="146" t="str">
        <f>_xlfn.IFNA(IF(IFERROR(FIND("Part &amp; Part",B248),-10)&gt;0,"PP",IF(OR(LEFT(B248,25)="Residential Interest Only",INDEX(Producer!$P:$P,MATCH($D248,Producer!$A:$A,0))="IO",INDEX(Producer!$P:$P,MATCH($D248,Producer!$A:$A,0))="Retirement Interest Only"),"IO",IF($C248="BuyToLet","CI, IO","CI"))),"")</f>
        <v/>
      </c>
      <c r="BM248" s="152" t="str">
        <f>_xlfn.IFNA(IF(BL248="IO",100%,IF(AND(INDEX(Producer!$P:$P,MATCH($D248,Producer!$A:$A,0))="Residential Interest Only Part &amp; Part",BK248=75),80%,IF(C248="BuyToLet",100%,IF(BL248="Interest Only",100%,IF(AND(INDEX(Producer!$P:$P,MATCH($D248,Producer!$A:$A,0))="Residential Interest Only Part &amp; Part",BK248=60),100%,""))))),"")</f>
        <v/>
      </c>
      <c r="BN248" s="218" t="str">
        <f>_xlfn.IFNA(IF(VALUE(INDEX(Producer!$H:$H,MATCH($D248,Producer!$A:$A,0)))=0,"",VALUE(INDEX(Producer!$H:$H,MATCH($D248,Producer!$A:$A,0)))),"")</f>
        <v/>
      </c>
      <c r="BO248" s="153"/>
      <c r="BP248" s="153"/>
      <c r="BQ248" s="219" t="str">
        <f t="shared" si="94"/>
        <v/>
      </c>
      <c r="BR248" s="146"/>
      <c r="BS248" s="146"/>
      <c r="BT248" s="146"/>
      <c r="BU248" s="146"/>
      <c r="BV248" s="219" t="str">
        <f t="shared" si="95"/>
        <v/>
      </c>
      <c r="BW248" s="146"/>
      <c r="BX248" s="146"/>
      <c r="BY248" s="146" t="str">
        <f t="shared" si="96"/>
        <v/>
      </c>
      <c r="BZ248" s="146" t="str">
        <f t="shared" si="97"/>
        <v/>
      </c>
      <c r="CA248" s="146" t="str">
        <f t="shared" si="98"/>
        <v/>
      </c>
      <c r="CB248" s="146" t="str">
        <f t="shared" si="99"/>
        <v/>
      </c>
      <c r="CC248" s="146" t="str">
        <f>_xlfn.IFNA(IF(INDEX(Producer!$P:$P,MATCH($D248,Producer!$A:$A,0))="Help to Buy","Only available","No"),"")</f>
        <v/>
      </c>
      <c r="CD248" s="146" t="str">
        <f>_xlfn.IFNA(IF(INDEX(Producer!$P:$P,MATCH($D248,Producer!$A:$A,0))="Shared Ownership","Only available","No"),"")</f>
        <v/>
      </c>
      <c r="CE248" s="146" t="str">
        <f>_xlfn.IFNA(IF(INDEX(Producer!$P:$P,MATCH($D248,Producer!$A:$A,0))="Right to Buy","Only available","No"),"")</f>
        <v/>
      </c>
      <c r="CF248" s="146" t="str">
        <f t="shared" si="100"/>
        <v/>
      </c>
      <c r="CG248" s="146" t="str">
        <f>_xlfn.IFNA(IF(INDEX(Producer!$P:$P,MATCH($D248,Producer!$A:$A,0))="Retirement Interest Only","Only available","No"),"")</f>
        <v/>
      </c>
      <c r="CH248" s="146" t="str">
        <f t="shared" si="101"/>
        <v/>
      </c>
      <c r="CI248" s="146" t="str">
        <f>_xlfn.IFNA(IF(INDEX(Producer!$P:$P,MATCH($D248,Producer!$A:$A,0))="Intermediary Holiday Let","Only available","No"),"")</f>
        <v/>
      </c>
      <c r="CJ248" s="146" t="str">
        <f t="shared" si="102"/>
        <v/>
      </c>
      <c r="CK248" s="146" t="str">
        <f>_xlfn.IFNA(IF(OR(INDEX(Producer!$P:$P,MATCH($D248,Producer!$A:$A,0))="Intermediary Small HMO",INDEX(Producer!$P:$P,MATCH($D248,Producer!$A:$A,0))="Intermediary Large HMO"),"Only available","No"),"")</f>
        <v/>
      </c>
      <c r="CL248" s="146" t="str">
        <f t="shared" si="103"/>
        <v/>
      </c>
      <c r="CM248" s="146" t="str">
        <f t="shared" si="104"/>
        <v/>
      </c>
      <c r="CN248" s="146" t="str">
        <f t="shared" si="105"/>
        <v/>
      </c>
      <c r="CO248" s="146" t="str">
        <f t="shared" si="106"/>
        <v/>
      </c>
      <c r="CP248" s="146" t="str">
        <f t="shared" si="107"/>
        <v/>
      </c>
      <c r="CQ248" s="146" t="str">
        <f t="shared" si="108"/>
        <v/>
      </c>
      <c r="CR248" s="146" t="str">
        <f t="shared" si="109"/>
        <v/>
      </c>
      <c r="CS248" s="146" t="str">
        <f t="shared" si="110"/>
        <v/>
      </c>
      <c r="CT248" s="146" t="str">
        <f t="shared" si="111"/>
        <v/>
      </c>
      <c r="CU248" s="146"/>
    </row>
    <row r="249" spans="1:99" ht="16.399999999999999" customHeight="1" x14ac:dyDescent="0.35">
      <c r="A249" s="145" t="str">
        <f t="shared" si="84"/>
        <v/>
      </c>
      <c r="B249" s="145" t="str">
        <f>_xlfn.IFNA(_xlfn.CONCAT(INDEX(Producer!$P:$P,MATCH($D249,Producer!$A:$A,0))," ",IF(INDEX(Producer!$N:$N,MATCH($D249,Producer!$A:$A,0))="Yes","Green ",""),IF(AND(INDEX(Producer!$L:$L,MATCH($D249,Producer!$A:$A,0))="No",INDEX(Producer!$C:$C,MATCH($D249,Producer!$A:$A,0))="Fixed"),"Flexit ",""),INDEX(Producer!$B:$B,MATCH($D249,Producer!$A:$A,0))," Year ",INDEX(Producer!$C:$C,MATCH($D249,Producer!$A:$A,0))," ",VALUE(INDEX(Producer!$E:$E,MATCH($D249,Producer!$A:$A,0)))*100,"% LTV",IF(INDEX(Producer!$N:$N,MATCH($D249,Producer!$A:$A,0))="Yes"," (EPC A-C)","")," - ",IF(INDEX(Producer!$D:$D,MATCH($D249,Producer!$A:$A,0))="DLY","Daily","Annual")),"")</f>
        <v/>
      </c>
      <c r="C249" s="146" t="str">
        <f>_xlfn.IFNA(INDEX(Producer!$Q:$Q,MATCH($D249,Producer!$A:$A,0)),"")</f>
        <v/>
      </c>
      <c r="D249" s="146" t="str">
        <f>IFERROR(VALUE(MID(Producer!$R$2,IF($D248="",1/0,FIND(_xlfn.CONCAT($D247,$D248),Producer!$R$2)+10),5)),"")</f>
        <v/>
      </c>
      <c r="E249" s="146" t="str">
        <f t="shared" si="85"/>
        <v/>
      </c>
      <c r="F249" s="146"/>
      <c r="G249" s="147" t="str">
        <f>_xlfn.IFNA(VALUE(INDEX(Producer!$F:$F,MATCH($D249,Producer!$A:$A,0)))*100,"")</f>
        <v/>
      </c>
      <c r="H249" s="216" t="str">
        <f>_xlfn.IFNA(IFERROR(DATEVALUE(INDEX(Producer!$M:$M,MATCH($D249,Producer!$A:$A,0))),(INDEX(Producer!$M:$M,MATCH($D249,Producer!$A:$A,0)))),"")</f>
        <v/>
      </c>
      <c r="I249" s="217" t="str">
        <f>_xlfn.IFNA(VALUE(INDEX(Producer!$B:$B,MATCH($D249,Producer!$A:$A,0)))*12,"")</f>
        <v/>
      </c>
      <c r="J249" s="146" t="str">
        <f>_xlfn.IFNA(IF(C249="Residential",IF(VALUE(INDEX(Producer!$B:$B,MATCH($D249,Producer!$A:$A,0)))&lt;5,Constants!$C$10,""),IF(VALUE(INDEX(Producer!$B:$B,MATCH($D249,Producer!$A:$A,0)))&lt;5,Constants!$C$11,"")),"")</f>
        <v/>
      </c>
      <c r="K249" s="216" t="str">
        <f>_xlfn.IFNA(IF(($I249)&lt;60,DATE(YEAR(H249)+(5-VALUE(INDEX(Producer!$B:$B,MATCH($D249,Producer!$A:$A,0)))),MONTH(H249),DAY(H249)),""),"")</f>
        <v/>
      </c>
      <c r="L249" s="153" t="str">
        <f t="shared" si="86"/>
        <v/>
      </c>
      <c r="M249" s="146"/>
      <c r="N249" s="148"/>
      <c r="O249" s="148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6"/>
      <c r="AK249" s="146" t="str">
        <f>IF(D249="","",IF(C249="Residential",Constants!$B$10,Constants!$B$11))</f>
        <v/>
      </c>
      <c r="AL249" s="146" t="str">
        <f t="shared" si="87"/>
        <v/>
      </c>
      <c r="AM249" s="206" t="str">
        <f t="shared" si="88"/>
        <v/>
      </c>
      <c r="AN249" s="146" t="str">
        <f t="shared" si="89"/>
        <v/>
      </c>
      <c r="AO249" s="149" t="str">
        <f t="shared" si="90"/>
        <v/>
      </c>
      <c r="AP249" s="150" t="str">
        <f t="shared" si="91"/>
        <v/>
      </c>
      <c r="AQ249" s="146" t="str">
        <f>IFERROR(_xlfn.IFNA(IF($BA249="No",0,IF(INDEX(Constants!B:B,MATCH(($I249/12),Constants!$A:$A,0))=0,0,INDEX(Constants!B:B,MATCH(($I249/12),Constants!$A:$A,0)))),0),"")</f>
        <v/>
      </c>
      <c r="AR249" s="146" t="str">
        <f>IFERROR(_xlfn.IFNA(IF($BA249="No",0,IF(INDEX(Constants!C:C,MATCH(($I249/12),Constants!$A:$A,0))=0,0,INDEX(Constants!C:C,MATCH(($I249/12),Constants!$A:$A,0)))),0),"")</f>
        <v/>
      </c>
      <c r="AS249" s="146" t="str">
        <f>IFERROR(_xlfn.IFNA(IF($BA249="No",0,IF(INDEX(Constants!D:D,MATCH(($I249/12),Constants!$A:$A,0))=0,0,INDEX(Constants!D:D,MATCH(($I249/12),Constants!$A:$A,0)))),0),"")</f>
        <v/>
      </c>
      <c r="AT249" s="146" t="str">
        <f>IFERROR(_xlfn.IFNA(IF($BA249="No",0,IF(INDEX(Constants!E:E,MATCH(($I249/12),Constants!$A:$A,0))=0,0,INDEX(Constants!E:E,MATCH(($I249/12),Constants!$A:$A,0)))),0),"")</f>
        <v/>
      </c>
      <c r="AU249" s="146" t="str">
        <f>IFERROR(_xlfn.IFNA(IF($BA249="No",0,IF(INDEX(Constants!F:F,MATCH(($I249/12),Constants!$A:$A,0))=0,0,INDEX(Constants!F:F,MATCH(($I249/12),Constants!$A:$A,0)))),0),"")</f>
        <v/>
      </c>
      <c r="AV249" s="146" t="str">
        <f>IFERROR(_xlfn.IFNA(IF($BA249="No",0,IF(INDEX(Constants!G:G,MATCH(($I249/12),Constants!$A:$A,0))=0,0,INDEX(Constants!G:G,MATCH(($I249/12),Constants!$A:$A,0)))),0),"")</f>
        <v/>
      </c>
      <c r="AW249" s="146" t="str">
        <f>IFERROR(_xlfn.IFNA(IF($BA249="No",0,IF(INDEX(Constants!H:H,MATCH(($I249/12),Constants!$A:$A,0))=0,0,INDEX(Constants!H:H,MATCH(($I249/12),Constants!$A:$A,0)))),0),"")</f>
        <v/>
      </c>
      <c r="AX249" s="146" t="str">
        <f>IFERROR(_xlfn.IFNA(IF($BA249="No",0,IF(INDEX(Constants!I:I,MATCH(($I249/12),Constants!$A:$A,0))=0,0,INDEX(Constants!I:I,MATCH(($I249/12),Constants!$A:$A,0)))),0),"")</f>
        <v/>
      </c>
      <c r="AY249" s="146" t="str">
        <f>IFERROR(_xlfn.IFNA(IF($BA249="No",0,IF(INDEX(Constants!J:J,MATCH(($I249/12),Constants!$A:$A,0))=0,0,INDEX(Constants!J:J,MATCH(($I249/12),Constants!$A:$A,0)))),0),"")</f>
        <v/>
      </c>
      <c r="AZ249" s="146" t="str">
        <f>IFERROR(_xlfn.IFNA(IF($BA249="No",0,IF(INDEX(Constants!K:K,MATCH(($I249/12),Constants!$A:$A,0))=0,0,INDEX(Constants!K:K,MATCH(($I249/12),Constants!$A:$A,0)))),0),"")</f>
        <v/>
      </c>
      <c r="BA249" s="147" t="str">
        <f>_xlfn.IFNA(INDEX(Producer!$L:$L,MATCH($D249,Producer!$A:$A,0)),"")</f>
        <v/>
      </c>
      <c r="BB249" s="146" t="str">
        <f>IFERROR(IF(AQ249=0,"",IF(($I249/12)=15,_xlfn.CONCAT(Constants!$N$7,TEXT(DATE(YEAR(H249)-(($I249/12)-3),MONTH(H249),DAY(H249)),"dd/mm/yyyy"),", ",Constants!$P$7,TEXT(DATE(YEAR(H249)-(($I249/12)-8),MONTH(H249),DAY(H249)),"dd/mm/yyyy"),", ",Constants!$T$7,TEXT(DATE(YEAR(H249)-(($I249/12)-11),MONTH(H249),DAY(H249)),"dd/mm/yyyy"),", ",Constants!$V$7,TEXT(DATE(YEAR(H249)-(($I249/12)-13),MONTH(H249),DAY(H249)),"dd/mm/yyyy"),", ",Constants!$W$7,TEXT($H249,"dd/mm/yyyy")),IF(($I249/12)=10,_xlfn.CONCAT(Constants!$N$6,TEXT(DATE(YEAR(H249)-(($I249/12)-2),MONTH(H249),DAY(H249)),"dd/mm/yyyy"),", ",Constants!$P$6,TEXT(DATE(YEAR(H249)-(($I249/12)-6),MONTH(H249),DAY(H249)),"dd/mm/yyyy"),", ",Constants!$T$6,TEXT(DATE(YEAR(H249)-(($I249/12)-8),MONTH(H249),DAY(H249)),"dd/mm/yyyy"),", ",Constants!$V$6,TEXT(DATE(YEAR(H249)-(($I249/12)-9),MONTH(H249),DAY(H249)),"dd/mm/yyyy"),", ",Constants!$W$6,TEXT($H249,"dd/mm/yyyy")),IF(($I249/12)=5,_xlfn.CONCAT(Constants!$N$5,TEXT(DATE(YEAR(H249)-(($I249/12)-1),MONTH(H249),DAY(H249)),"dd/mm/yyyy"),", ",Constants!$O$5,TEXT(DATE(YEAR(H249)-(($I249/12)-2),MONTH(H249),DAY(H249)),"dd/mm/yyyy"),", ",Constants!$P$5,TEXT(DATE(YEAR(H249)-(($I249/12)-3),MONTH(H249),DAY(H249)),"dd/mm/yyyy"),", ",Constants!$Q$5,TEXT(DATE(YEAR(H249)-(($I249/12)-4),MONTH(H249),DAY(H249)),"dd/mm/yyyy"),", ",Constants!$R$5,TEXT($H249,"dd/mm/yyyy")),IF(($I249/12)=3,_xlfn.CONCAT(Constants!$N$4,TEXT(DATE(YEAR(H249)-(($I249/12)-1),MONTH(H249),DAY(H249)),"dd/mm/yyyy"),", ",Constants!$O$4,TEXT(DATE(YEAR(H249)-(($I249/12)-2),MONTH(H249),DAY(H249)),"dd/mm/yyyy"),", ",Constants!$P$4,TEXT($H249,"dd/mm/yyyy")),IF(($I249/12)=2,_xlfn.CONCAT(Constants!$N$3,TEXT(DATE(YEAR(H249)-(($I249/12)-1),MONTH(H249),DAY(H249)),"dd/mm/yyyy"),", ",Constants!$O$3,TEXT($H249,"dd/mm/yyyy")),IF(($I249/12)=1,_xlfn.CONCAT(Constants!$N$2,TEXT($H249,"dd/mm/yyyy")),"Update Constants"))))))),"")</f>
        <v/>
      </c>
      <c r="BC249" s="147" t="str">
        <f>_xlfn.IFNA(VALUE(INDEX(Producer!$K:$K,MATCH($D249,Producer!$A:$A,0))),"")</f>
        <v/>
      </c>
      <c r="BD249" s="147" t="str">
        <f>_xlfn.IFNA(INDEX(Producer!$I:$I,MATCH($D249,Producer!$A:$A,0)),"")</f>
        <v/>
      </c>
      <c r="BE249" s="147" t="str">
        <f t="shared" si="92"/>
        <v/>
      </c>
      <c r="BF249" s="147"/>
      <c r="BG249" s="147"/>
      <c r="BH249" s="151" t="str">
        <f>_xlfn.IFNA(INDEX(Constants!$B:$B,MATCH(BC249,Constants!A:A,0)),"")</f>
        <v/>
      </c>
      <c r="BI249" s="147" t="str">
        <f>IF(LEFT(B249,15)="Limited Company",Constants!$D$16,IFERROR(_xlfn.IFNA(IF(C249="Residential",IF(BK249&lt;75,INDEX(Constants!$B:$B,MATCH(VALUE(60)/100,Constants!$A:$A,0)),INDEX(Constants!$B:$B,MATCH(VALUE(BK249)/100,Constants!$A:$A,0))),IF(BK249&lt;60,INDEX(Constants!$C:$C,MATCH(VALUE(60)/100,Constants!$A:$A,0)),INDEX(Constants!$C:$C,MATCH(VALUE(BK249)/100,Constants!$A:$A,0)))),""),""))</f>
        <v/>
      </c>
      <c r="BJ249" s="147" t="str">
        <f t="shared" si="93"/>
        <v/>
      </c>
      <c r="BK249" s="147" t="str">
        <f>_xlfn.IFNA(VALUE(INDEX(Producer!$E:$E,MATCH($D249,Producer!$A:$A,0)))*100,"")</f>
        <v/>
      </c>
      <c r="BL249" s="146" t="str">
        <f>_xlfn.IFNA(IF(IFERROR(FIND("Part &amp; Part",B249),-10)&gt;0,"PP",IF(OR(LEFT(B249,25)="Residential Interest Only",INDEX(Producer!$P:$P,MATCH($D249,Producer!$A:$A,0))="IO",INDEX(Producer!$P:$P,MATCH($D249,Producer!$A:$A,0))="Retirement Interest Only"),"IO",IF($C249="BuyToLet","CI, IO","CI"))),"")</f>
        <v/>
      </c>
      <c r="BM249" s="152" t="str">
        <f>_xlfn.IFNA(IF(BL249="IO",100%,IF(AND(INDEX(Producer!$P:$P,MATCH($D249,Producer!$A:$A,0))="Residential Interest Only Part &amp; Part",BK249=75),80%,IF(C249="BuyToLet",100%,IF(BL249="Interest Only",100%,IF(AND(INDEX(Producer!$P:$P,MATCH($D249,Producer!$A:$A,0))="Residential Interest Only Part &amp; Part",BK249=60),100%,""))))),"")</f>
        <v/>
      </c>
      <c r="BN249" s="218" t="str">
        <f>_xlfn.IFNA(IF(VALUE(INDEX(Producer!$H:$H,MATCH($D249,Producer!$A:$A,0)))=0,"",VALUE(INDEX(Producer!$H:$H,MATCH($D249,Producer!$A:$A,0)))),"")</f>
        <v/>
      </c>
      <c r="BO249" s="153"/>
      <c r="BP249" s="153"/>
      <c r="BQ249" s="219" t="str">
        <f t="shared" si="94"/>
        <v/>
      </c>
      <c r="BR249" s="146"/>
      <c r="BS249" s="146"/>
      <c r="BT249" s="146"/>
      <c r="BU249" s="146"/>
      <c r="BV249" s="219" t="str">
        <f t="shared" si="95"/>
        <v/>
      </c>
      <c r="BW249" s="146"/>
      <c r="BX249" s="146"/>
      <c r="BY249" s="146" t="str">
        <f t="shared" si="96"/>
        <v/>
      </c>
      <c r="BZ249" s="146" t="str">
        <f t="shared" si="97"/>
        <v/>
      </c>
      <c r="CA249" s="146" t="str">
        <f t="shared" si="98"/>
        <v/>
      </c>
      <c r="CB249" s="146" t="str">
        <f t="shared" si="99"/>
        <v/>
      </c>
      <c r="CC249" s="146" t="str">
        <f>_xlfn.IFNA(IF(INDEX(Producer!$P:$P,MATCH($D249,Producer!$A:$A,0))="Help to Buy","Only available","No"),"")</f>
        <v/>
      </c>
      <c r="CD249" s="146" t="str">
        <f>_xlfn.IFNA(IF(INDEX(Producer!$P:$P,MATCH($D249,Producer!$A:$A,0))="Shared Ownership","Only available","No"),"")</f>
        <v/>
      </c>
      <c r="CE249" s="146" t="str">
        <f>_xlfn.IFNA(IF(INDEX(Producer!$P:$P,MATCH($D249,Producer!$A:$A,0))="Right to Buy","Only available","No"),"")</f>
        <v/>
      </c>
      <c r="CF249" s="146" t="str">
        <f t="shared" si="100"/>
        <v/>
      </c>
      <c r="CG249" s="146" t="str">
        <f>_xlfn.IFNA(IF(INDEX(Producer!$P:$P,MATCH($D249,Producer!$A:$A,0))="Retirement Interest Only","Only available","No"),"")</f>
        <v/>
      </c>
      <c r="CH249" s="146" t="str">
        <f t="shared" si="101"/>
        <v/>
      </c>
      <c r="CI249" s="146" t="str">
        <f>_xlfn.IFNA(IF(INDEX(Producer!$P:$P,MATCH($D249,Producer!$A:$A,0))="Intermediary Holiday Let","Only available","No"),"")</f>
        <v/>
      </c>
      <c r="CJ249" s="146" t="str">
        <f t="shared" si="102"/>
        <v/>
      </c>
      <c r="CK249" s="146" t="str">
        <f>_xlfn.IFNA(IF(OR(INDEX(Producer!$P:$P,MATCH($D249,Producer!$A:$A,0))="Intermediary Small HMO",INDEX(Producer!$P:$P,MATCH($D249,Producer!$A:$A,0))="Intermediary Large HMO"),"Only available","No"),"")</f>
        <v/>
      </c>
      <c r="CL249" s="146" t="str">
        <f t="shared" si="103"/>
        <v/>
      </c>
      <c r="CM249" s="146" t="str">
        <f t="shared" si="104"/>
        <v/>
      </c>
      <c r="CN249" s="146" t="str">
        <f t="shared" si="105"/>
        <v/>
      </c>
      <c r="CO249" s="146" t="str">
        <f t="shared" si="106"/>
        <v/>
      </c>
      <c r="CP249" s="146" t="str">
        <f t="shared" si="107"/>
        <v/>
      </c>
      <c r="CQ249" s="146" t="str">
        <f t="shared" si="108"/>
        <v/>
      </c>
      <c r="CR249" s="146" t="str">
        <f t="shared" si="109"/>
        <v/>
      </c>
      <c r="CS249" s="146" t="str">
        <f t="shared" si="110"/>
        <v/>
      </c>
      <c r="CT249" s="146" t="str">
        <f t="shared" si="111"/>
        <v/>
      </c>
      <c r="CU249" s="146"/>
    </row>
    <row r="250" spans="1:99" ht="16.399999999999999" customHeight="1" x14ac:dyDescent="0.35">
      <c r="A250" s="145" t="str">
        <f t="shared" si="84"/>
        <v/>
      </c>
      <c r="B250" s="145" t="str">
        <f>_xlfn.IFNA(_xlfn.CONCAT(INDEX(Producer!$P:$P,MATCH($D250,Producer!$A:$A,0))," ",IF(INDEX(Producer!$N:$N,MATCH($D250,Producer!$A:$A,0))="Yes","Green ",""),IF(AND(INDEX(Producer!$L:$L,MATCH($D250,Producer!$A:$A,0))="No",INDEX(Producer!$C:$C,MATCH($D250,Producer!$A:$A,0))="Fixed"),"Flexit ",""),INDEX(Producer!$B:$B,MATCH($D250,Producer!$A:$A,0))," Year ",INDEX(Producer!$C:$C,MATCH($D250,Producer!$A:$A,0))," ",VALUE(INDEX(Producer!$E:$E,MATCH($D250,Producer!$A:$A,0)))*100,"% LTV",IF(INDEX(Producer!$N:$N,MATCH($D250,Producer!$A:$A,0))="Yes"," (EPC A-C)","")," - ",IF(INDEX(Producer!$D:$D,MATCH($D250,Producer!$A:$A,0))="DLY","Daily","Annual")),"")</f>
        <v/>
      </c>
      <c r="C250" s="146" t="str">
        <f>_xlfn.IFNA(INDEX(Producer!$Q:$Q,MATCH($D250,Producer!$A:$A,0)),"")</f>
        <v/>
      </c>
      <c r="D250" s="146" t="str">
        <f>IFERROR(VALUE(MID(Producer!$R$2,IF($D249="",1/0,FIND(_xlfn.CONCAT($D248,$D249),Producer!$R$2)+10),5)),"")</f>
        <v/>
      </c>
      <c r="E250" s="146" t="str">
        <f t="shared" si="85"/>
        <v/>
      </c>
      <c r="F250" s="146"/>
      <c r="G250" s="147" t="str">
        <f>_xlfn.IFNA(VALUE(INDEX(Producer!$F:$F,MATCH($D250,Producer!$A:$A,0)))*100,"")</f>
        <v/>
      </c>
      <c r="H250" s="216" t="str">
        <f>_xlfn.IFNA(IFERROR(DATEVALUE(INDEX(Producer!$M:$M,MATCH($D250,Producer!$A:$A,0))),(INDEX(Producer!$M:$M,MATCH($D250,Producer!$A:$A,0)))),"")</f>
        <v/>
      </c>
      <c r="I250" s="217" t="str">
        <f>_xlfn.IFNA(VALUE(INDEX(Producer!$B:$B,MATCH($D250,Producer!$A:$A,0)))*12,"")</f>
        <v/>
      </c>
      <c r="J250" s="146" t="str">
        <f>_xlfn.IFNA(IF(C250="Residential",IF(VALUE(INDEX(Producer!$B:$B,MATCH($D250,Producer!$A:$A,0)))&lt;5,Constants!$C$10,""),IF(VALUE(INDEX(Producer!$B:$B,MATCH($D250,Producer!$A:$A,0)))&lt;5,Constants!$C$11,"")),"")</f>
        <v/>
      </c>
      <c r="K250" s="216" t="str">
        <f>_xlfn.IFNA(IF(($I250)&lt;60,DATE(YEAR(H250)+(5-VALUE(INDEX(Producer!$B:$B,MATCH($D250,Producer!$A:$A,0)))),MONTH(H250),DAY(H250)),""),"")</f>
        <v/>
      </c>
      <c r="L250" s="153" t="str">
        <f t="shared" si="86"/>
        <v/>
      </c>
      <c r="M250" s="146"/>
      <c r="N250" s="148"/>
      <c r="O250" s="148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  <c r="AA250" s="146"/>
      <c r="AB250" s="146"/>
      <c r="AC250" s="146"/>
      <c r="AD250" s="146"/>
      <c r="AE250" s="146"/>
      <c r="AF250" s="146"/>
      <c r="AG250" s="146"/>
      <c r="AH250" s="146"/>
      <c r="AI250" s="146"/>
      <c r="AJ250" s="146"/>
      <c r="AK250" s="146" t="str">
        <f>IF(D250="","",IF(C250="Residential",Constants!$B$10,Constants!$B$11))</f>
        <v/>
      </c>
      <c r="AL250" s="146" t="str">
        <f t="shared" si="87"/>
        <v/>
      </c>
      <c r="AM250" s="206" t="str">
        <f t="shared" si="88"/>
        <v/>
      </c>
      <c r="AN250" s="146" t="str">
        <f t="shared" si="89"/>
        <v/>
      </c>
      <c r="AO250" s="149" t="str">
        <f t="shared" si="90"/>
        <v/>
      </c>
      <c r="AP250" s="150" t="str">
        <f t="shared" si="91"/>
        <v/>
      </c>
      <c r="AQ250" s="146" t="str">
        <f>IFERROR(_xlfn.IFNA(IF($BA250="No",0,IF(INDEX(Constants!B:B,MATCH(($I250/12),Constants!$A:$A,0))=0,0,INDEX(Constants!B:B,MATCH(($I250/12),Constants!$A:$A,0)))),0),"")</f>
        <v/>
      </c>
      <c r="AR250" s="146" t="str">
        <f>IFERROR(_xlfn.IFNA(IF($BA250="No",0,IF(INDEX(Constants!C:C,MATCH(($I250/12),Constants!$A:$A,0))=0,0,INDEX(Constants!C:C,MATCH(($I250/12),Constants!$A:$A,0)))),0),"")</f>
        <v/>
      </c>
      <c r="AS250" s="146" t="str">
        <f>IFERROR(_xlfn.IFNA(IF($BA250="No",0,IF(INDEX(Constants!D:D,MATCH(($I250/12),Constants!$A:$A,0))=0,0,INDEX(Constants!D:D,MATCH(($I250/12),Constants!$A:$A,0)))),0),"")</f>
        <v/>
      </c>
      <c r="AT250" s="146" t="str">
        <f>IFERROR(_xlfn.IFNA(IF($BA250="No",0,IF(INDEX(Constants!E:E,MATCH(($I250/12),Constants!$A:$A,0))=0,0,INDEX(Constants!E:E,MATCH(($I250/12),Constants!$A:$A,0)))),0),"")</f>
        <v/>
      </c>
      <c r="AU250" s="146" t="str">
        <f>IFERROR(_xlfn.IFNA(IF($BA250="No",0,IF(INDEX(Constants!F:F,MATCH(($I250/12),Constants!$A:$A,0))=0,0,INDEX(Constants!F:F,MATCH(($I250/12),Constants!$A:$A,0)))),0),"")</f>
        <v/>
      </c>
      <c r="AV250" s="146" t="str">
        <f>IFERROR(_xlfn.IFNA(IF($BA250="No",0,IF(INDEX(Constants!G:G,MATCH(($I250/12),Constants!$A:$A,0))=0,0,INDEX(Constants!G:G,MATCH(($I250/12),Constants!$A:$A,0)))),0),"")</f>
        <v/>
      </c>
      <c r="AW250" s="146" t="str">
        <f>IFERROR(_xlfn.IFNA(IF($BA250="No",0,IF(INDEX(Constants!H:H,MATCH(($I250/12),Constants!$A:$A,0))=0,0,INDEX(Constants!H:H,MATCH(($I250/12),Constants!$A:$A,0)))),0),"")</f>
        <v/>
      </c>
      <c r="AX250" s="146" t="str">
        <f>IFERROR(_xlfn.IFNA(IF($BA250="No",0,IF(INDEX(Constants!I:I,MATCH(($I250/12),Constants!$A:$A,0))=0,0,INDEX(Constants!I:I,MATCH(($I250/12),Constants!$A:$A,0)))),0),"")</f>
        <v/>
      </c>
      <c r="AY250" s="146" t="str">
        <f>IFERROR(_xlfn.IFNA(IF($BA250="No",0,IF(INDEX(Constants!J:J,MATCH(($I250/12),Constants!$A:$A,0))=0,0,INDEX(Constants!J:J,MATCH(($I250/12),Constants!$A:$A,0)))),0),"")</f>
        <v/>
      </c>
      <c r="AZ250" s="146" t="str">
        <f>IFERROR(_xlfn.IFNA(IF($BA250="No",0,IF(INDEX(Constants!K:K,MATCH(($I250/12),Constants!$A:$A,0))=0,0,INDEX(Constants!K:K,MATCH(($I250/12),Constants!$A:$A,0)))),0),"")</f>
        <v/>
      </c>
      <c r="BA250" s="147" t="str">
        <f>_xlfn.IFNA(INDEX(Producer!$L:$L,MATCH($D250,Producer!$A:$A,0)),"")</f>
        <v/>
      </c>
      <c r="BB250" s="146" t="str">
        <f>IFERROR(IF(AQ250=0,"",IF(($I250/12)=15,_xlfn.CONCAT(Constants!$N$7,TEXT(DATE(YEAR(H250)-(($I250/12)-3),MONTH(H250),DAY(H250)),"dd/mm/yyyy"),", ",Constants!$P$7,TEXT(DATE(YEAR(H250)-(($I250/12)-8),MONTH(H250),DAY(H250)),"dd/mm/yyyy"),", ",Constants!$T$7,TEXT(DATE(YEAR(H250)-(($I250/12)-11),MONTH(H250),DAY(H250)),"dd/mm/yyyy"),", ",Constants!$V$7,TEXT(DATE(YEAR(H250)-(($I250/12)-13),MONTH(H250),DAY(H250)),"dd/mm/yyyy"),", ",Constants!$W$7,TEXT($H250,"dd/mm/yyyy")),IF(($I250/12)=10,_xlfn.CONCAT(Constants!$N$6,TEXT(DATE(YEAR(H250)-(($I250/12)-2),MONTH(H250),DAY(H250)),"dd/mm/yyyy"),", ",Constants!$P$6,TEXT(DATE(YEAR(H250)-(($I250/12)-6),MONTH(H250),DAY(H250)),"dd/mm/yyyy"),", ",Constants!$T$6,TEXT(DATE(YEAR(H250)-(($I250/12)-8),MONTH(H250),DAY(H250)),"dd/mm/yyyy"),", ",Constants!$V$6,TEXT(DATE(YEAR(H250)-(($I250/12)-9),MONTH(H250),DAY(H250)),"dd/mm/yyyy"),", ",Constants!$W$6,TEXT($H250,"dd/mm/yyyy")),IF(($I250/12)=5,_xlfn.CONCAT(Constants!$N$5,TEXT(DATE(YEAR(H250)-(($I250/12)-1),MONTH(H250),DAY(H250)),"dd/mm/yyyy"),", ",Constants!$O$5,TEXT(DATE(YEAR(H250)-(($I250/12)-2),MONTH(H250),DAY(H250)),"dd/mm/yyyy"),", ",Constants!$P$5,TEXT(DATE(YEAR(H250)-(($I250/12)-3),MONTH(H250),DAY(H250)),"dd/mm/yyyy"),", ",Constants!$Q$5,TEXT(DATE(YEAR(H250)-(($I250/12)-4),MONTH(H250),DAY(H250)),"dd/mm/yyyy"),", ",Constants!$R$5,TEXT($H250,"dd/mm/yyyy")),IF(($I250/12)=3,_xlfn.CONCAT(Constants!$N$4,TEXT(DATE(YEAR(H250)-(($I250/12)-1),MONTH(H250),DAY(H250)),"dd/mm/yyyy"),", ",Constants!$O$4,TEXT(DATE(YEAR(H250)-(($I250/12)-2),MONTH(H250),DAY(H250)),"dd/mm/yyyy"),", ",Constants!$P$4,TEXT($H250,"dd/mm/yyyy")),IF(($I250/12)=2,_xlfn.CONCAT(Constants!$N$3,TEXT(DATE(YEAR(H250)-(($I250/12)-1),MONTH(H250),DAY(H250)),"dd/mm/yyyy"),", ",Constants!$O$3,TEXT($H250,"dd/mm/yyyy")),IF(($I250/12)=1,_xlfn.CONCAT(Constants!$N$2,TEXT($H250,"dd/mm/yyyy")),"Update Constants"))))))),"")</f>
        <v/>
      </c>
      <c r="BC250" s="147" t="str">
        <f>_xlfn.IFNA(VALUE(INDEX(Producer!$K:$K,MATCH($D250,Producer!$A:$A,0))),"")</f>
        <v/>
      </c>
      <c r="BD250" s="147" t="str">
        <f>_xlfn.IFNA(INDEX(Producer!$I:$I,MATCH($D250,Producer!$A:$A,0)),"")</f>
        <v/>
      </c>
      <c r="BE250" s="147" t="str">
        <f t="shared" si="92"/>
        <v/>
      </c>
      <c r="BF250" s="147"/>
      <c r="BG250" s="147"/>
      <c r="BH250" s="151" t="str">
        <f>_xlfn.IFNA(INDEX(Constants!$B:$B,MATCH(BC250,Constants!A:A,0)),"")</f>
        <v/>
      </c>
      <c r="BI250" s="147" t="str">
        <f>IF(LEFT(B250,15)="Limited Company",Constants!$D$16,IFERROR(_xlfn.IFNA(IF(C250="Residential",IF(BK250&lt;75,INDEX(Constants!$B:$B,MATCH(VALUE(60)/100,Constants!$A:$A,0)),INDEX(Constants!$B:$B,MATCH(VALUE(BK250)/100,Constants!$A:$A,0))),IF(BK250&lt;60,INDEX(Constants!$C:$C,MATCH(VALUE(60)/100,Constants!$A:$A,0)),INDEX(Constants!$C:$C,MATCH(VALUE(BK250)/100,Constants!$A:$A,0)))),""),""))</f>
        <v/>
      </c>
      <c r="BJ250" s="147" t="str">
        <f t="shared" si="93"/>
        <v/>
      </c>
      <c r="BK250" s="147" t="str">
        <f>_xlfn.IFNA(VALUE(INDEX(Producer!$E:$E,MATCH($D250,Producer!$A:$A,0)))*100,"")</f>
        <v/>
      </c>
      <c r="BL250" s="146" t="str">
        <f>_xlfn.IFNA(IF(IFERROR(FIND("Part &amp; Part",B250),-10)&gt;0,"PP",IF(OR(LEFT(B250,25)="Residential Interest Only",INDEX(Producer!$P:$P,MATCH($D250,Producer!$A:$A,0))="IO",INDEX(Producer!$P:$P,MATCH($D250,Producer!$A:$A,0))="Retirement Interest Only"),"IO",IF($C250="BuyToLet","CI, IO","CI"))),"")</f>
        <v/>
      </c>
      <c r="BM250" s="152" t="str">
        <f>_xlfn.IFNA(IF(BL250="IO",100%,IF(AND(INDEX(Producer!$P:$P,MATCH($D250,Producer!$A:$A,0))="Residential Interest Only Part &amp; Part",BK250=75),80%,IF(C250="BuyToLet",100%,IF(BL250="Interest Only",100%,IF(AND(INDEX(Producer!$P:$P,MATCH($D250,Producer!$A:$A,0))="Residential Interest Only Part &amp; Part",BK250=60),100%,""))))),"")</f>
        <v/>
      </c>
      <c r="BN250" s="218" t="str">
        <f>_xlfn.IFNA(IF(VALUE(INDEX(Producer!$H:$H,MATCH($D250,Producer!$A:$A,0)))=0,"",VALUE(INDEX(Producer!$H:$H,MATCH($D250,Producer!$A:$A,0)))),"")</f>
        <v/>
      </c>
      <c r="BO250" s="153"/>
      <c r="BP250" s="153"/>
      <c r="BQ250" s="219" t="str">
        <f t="shared" si="94"/>
        <v/>
      </c>
      <c r="BR250" s="146"/>
      <c r="BS250" s="146"/>
      <c r="BT250" s="146"/>
      <c r="BU250" s="146"/>
      <c r="BV250" s="219" t="str">
        <f t="shared" si="95"/>
        <v/>
      </c>
      <c r="BW250" s="146"/>
      <c r="BX250" s="146"/>
      <c r="BY250" s="146" t="str">
        <f t="shared" si="96"/>
        <v/>
      </c>
      <c r="BZ250" s="146" t="str">
        <f t="shared" si="97"/>
        <v/>
      </c>
      <c r="CA250" s="146" t="str">
        <f t="shared" si="98"/>
        <v/>
      </c>
      <c r="CB250" s="146" t="str">
        <f t="shared" si="99"/>
        <v/>
      </c>
      <c r="CC250" s="146" t="str">
        <f>_xlfn.IFNA(IF(INDEX(Producer!$P:$P,MATCH($D250,Producer!$A:$A,0))="Help to Buy","Only available","No"),"")</f>
        <v/>
      </c>
      <c r="CD250" s="146" t="str">
        <f>_xlfn.IFNA(IF(INDEX(Producer!$P:$P,MATCH($D250,Producer!$A:$A,0))="Shared Ownership","Only available","No"),"")</f>
        <v/>
      </c>
      <c r="CE250" s="146" t="str">
        <f>_xlfn.IFNA(IF(INDEX(Producer!$P:$P,MATCH($D250,Producer!$A:$A,0))="Right to Buy","Only available","No"),"")</f>
        <v/>
      </c>
      <c r="CF250" s="146" t="str">
        <f t="shared" si="100"/>
        <v/>
      </c>
      <c r="CG250" s="146" t="str">
        <f>_xlfn.IFNA(IF(INDEX(Producer!$P:$P,MATCH($D250,Producer!$A:$A,0))="Retirement Interest Only","Only available","No"),"")</f>
        <v/>
      </c>
      <c r="CH250" s="146" t="str">
        <f t="shared" si="101"/>
        <v/>
      </c>
      <c r="CI250" s="146" t="str">
        <f>_xlfn.IFNA(IF(INDEX(Producer!$P:$P,MATCH($D250,Producer!$A:$A,0))="Intermediary Holiday Let","Only available","No"),"")</f>
        <v/>
      </c>
      <c r="CJ250" s="146" t="str">
        <f t="shared" si="102"/>
        <v/>
      </c>
      <c r="CK250" s="146" t="str">
        <f>_xlfn.IFNA(IF(OR(INDEX(Producer!$P:$P,MATCH($D250,Producer!$A:$A,0))="Intermediary Small HMO",INDEX(Producer!$P:$P,MATCH($D250,Producer!$A:$A,0))="Intermediary Large HMO"),"Only available","No"),"")</f>
        <v/>
      </c>
      <c r="CL250" s="146" t="str">
        <f t="shared" si="103"/>
        <v/>
      </c>
      <c r="CM250" s="146" t="str">
        <f t="shared" si="104"/>
        <v/>
      </c>
      <c r="CN250" s="146" t="str">
        <f t="shared" si="105"/>
        <v/>
      </c>
      <c r="CO250" s="146" t="str">
        <f t="shared" si="106"/>
        <v/>
      </c>
      <c r="CP250" s="146" t="str">
        <f t="shared" si="107"/>
        <v/>
      </c>
      <c r="CQ250" s="146" t="str">
        <f t="shared" si="108"/>
        <v/>
      </c>
      <c r="CR250" s="146" t="str">
        <f t="shared" si="109"/>
        <v/>
      </c>
      <c r="CS250" s="146" t="str">
        <f t="shared" si="110"/>
        <v/>
      </c>
      <c r="CT250" s="146" t="str">
        <f t="shared" si="111"/>
        <v/>
      </c>
      <c r="CU250" s="146"/>
    </row>
    <row r="251" spans="1:99" ht="16.399999999999999" customHeight="1" x14ac:dyDescent="0.35">
      <c r="A251" s="145" t="str">
        <f t="shared" si="84"/>
        <v/>
      </c>
      <c r="B251" s="145" t="str">
        <f>_xlfn.IFNA(_xlfn.CONCAT(INDEX(Producer!$P:$P,MATCH($D251,Producer!$A:$A,0))," ",IF(INDEX(Producer!$N:$N,MATCH($D251,Producer!$A:$A,0))="Yes","Green ",""),IF(AND(INDEX(Producer!$L:$L,MATCH($D251,Producer!$A:$A,0))="No",INDEX(Producer!$C:$C,MATCH($D251,Producer!$A:$A,0))="Fixed"),"Flexit ",""),INDEX(Producer!$B:$B,MATCH($D251,Producer!$A:$A,0))," Year ",INDEX(Producer!$C:$C,MATCH($D251,Producer!$A:$A,0))," ",VALUE(INDEX(Producer!$E:$E,MATCH($D251,Producer!$A:$A,0)))*100,"% LTV",IF(INDEX(Producer!$N:$N,MATCH($D251,Producer!$A:$A,0))="Yes"," (EPC A-C)","")," - ",IF(INDEX(Producer!$D:$D,MATCH($D251,Producer!$A:$A,0))="DLY","Daily","Annual")),"")</f>
        <v/>
      </c>
      <c r="C251" s="146" t="str">
        <f>_xlfn.IFNA(INDEX(Producer!$Q:$Q,MATCH($D251,Producer!$A:$A,0)),"")</f>
        <v/>
      </c>
      <c r="D251" s="146" t="str">
        <f>IFERROR(VALUE(MID(Producer!$R$2,IF($D250="",1/0,FIND(_xlfn.CONCAT($D249,$D250),Producer!$R$2)+10),5)),"")</f>
        <v/>
      </c>
      <c r="E251" s="146" t="str">
        <f t="shared" si="85"/>
        <v/>
      </c>
      <c r="F251" s="146"/>
      <c r="G251" s="147" t="str">
        <f>_xlfn.IFNA(VALUE(INDEX(Producer!$F:$F,MATCH($D251,Producer!$A:$A,0)))*100,"")</f>
        <v/>
      </c>
      <c r="H251" s="216" t="str">
        <f>_xlfn.IFNA(IFERROR(DATEVALUE(INDEX(Producer!$M:$M,MATCH($D251,Producer!$A:$A,0))),(INDEX(Producer!$M:$M,MATCH($D251,Producer!$A:$A,0)))),"")</f>
        <v/>
      </c>
      <c r="I251" s="217" t="str">
        <f>_xlfn.IFNA(VALUE(INDEX(Producer!$B:$B,MATCH($D251,Producer!$A:$A,0)))*12,"")</f>
        <v/>
      </c>
      <c r="J251" s="146" t="str">
        <f>_xlfn.IFNA(IF(C251="Residential",IF(VALUE(INDEX(Producer!$B:$B,MATCH($D251,Producer!$A:$A,0)))&lt;5,Constants!$C$10,""),IF(VALUE(INDEX(Producer!$B:$B,MATCH($D251,Producer!$A:$A,0)))&lt;5,Constants!$C$11,"")),"")</f>
        <v/>
      </c>
      <c r="K251" s="216" t="str">
        <f>_xlfn.IFNA(IF(($I251)&lt;60,DATE(YEAR(H251)+(5-VALUE(INDEX(Producer!$B:$B,MATCH($D251,Producer!$A:$A,0)))),MONTH(H251),DAY(H251)),""),"")</f>
        <v/>
      </c>
      <c r="L251" s="153" t="str">
        <f t="shared" si="86"/>
        <v/>
      </c>
      <c r="M251" s="146"/>
      <c r="N251" s="148"/>
      <c r="O251" s="148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6"/>
      <c r="AK251" s="146" t="str">
        <f>IF(D251="","",IF(C251="Residential",Constants!$B$10,Constants!$B$11))</f>
        <v/>
      </c>
      <c r="AL251" s="146" t="str">
        <f t="shared" si="87"/>
        <v/>
      </c>
      <c r="AM251" s="206" t="str">
        <f t="shared" si="88"/>
        <v/>
      </c>
      <c r="AN251" s="146" t="str">
        <f t="shared" si="89"/>
        <v/>
      </c>
      <c r="AO251" s="149" t="str">
        <f t="shared" si="90"/>
        <v/>
      </c>
      <c r="AP251" s="150" t="str">
        <f t="shared" si="91"/>
        <v/>
      </c>
      <c r="AQ251" s="146" t="str">
        <f>IFERROR(_xlfn.IFNA(IF($BA251="No",0,IF(INDEX(Constants!B:B,MATCH(($I251/12),Constants!$A:$A,0))=0,0,INDEX(Constants!B:B,MATCH(($I251/12),Constants!$A:$A,0)))),0),"")</f>
        <v/>
      </c>
      <c r="AR251" s="146" t="str">
        <f>IFERROR(_xlfn.IFNA(IF($BA251="No",0,IF(INDEX(Constants!C:C,MATCH(($I251/12),Constants!$A:$A,0))=0,0,INDEX(Constants!C:C,MATCH(($I251/12),Constants!$A:$A,0)))),0),"")</f>
        <v/>
      </c>
      <c r="AS251" s="146" t="str">
        <f>IFERROR(_xlfn.IFNA(IF($BA251="No",0,IF(INDEX(Constants!D:D,MATCH(($I251/12),Constants!$A:$A,0))=0,0,INDEX(Constants!D:D,MATCH(($I251/12),Constants!$A:$A,0)))),0),"")</f>
        <v/>
      </c>
      <c r="AT251" s="146" t="str">
        <f>IFERROR(_xlfn.IFNA(IF($BA251="No",0,IF(INDEX(Constants!E:E,MATCH(($I251/12),Constants!$A:$A,0))=0,0,INDEX(Constants!E:E,MATCH(($I251/12),Constants!$A:$A,0)))),0),"")</f>
        <v/>
      </c>
      <c r="AU251" s="146" t="str">
        <f>IFERROR(_xlfn.IFNA(IF($BA251="No",0,IF(INDEX(Constants!F:F,MATCH(($I251/12),Constants!$A:$A,0))=0,0,INDEX(Constants!F:F,MATCH(($I251/12),Constants!$A:$A,0)))),0),"")</f>
        <v/>
      </c>
      <c r="AV251" s="146" t="str">
        <f>IFERROR(_xlfn.IFNA(IF($BA251="No",0,IF(INDEX(Constants!G:G,MATCH(($I251/12),Constants!$A:$A,0))=0,0,INDEX(Constants!G:G,MATCH(($I251/12),Constants!$A:$A,0)))),0),"")</f>
        <v/>
      </c>
      <c r="AW251" s="146" t="str">
        <f>IFERROR(_xlfn.IFNA(IF($BA251="No",0,IF(INDEX(Constants!H:H,MATCH(($I251/12),Constants!$A:$A,0))=0,0,INDEX(Constants!H:H,MATCH(($I251/12),Constants!$A:$A,0)))),0),"")</f>
        <v/>
      </c>
      <c r="AX251" s="146" t="str">
        <f>IFERROR(_xlfn.IFNA(IF($BA251="No",0,IF(INDEX(Constants!I:I,MATCH(($I251/12),Constants!$A:$A,0))=0,0,INDEX(Constants!I:I,MATCH(($I251/12),Constants!$A:$A,0)))),0),"")</f>
        <v/>
      </c>
      <c r="AY251" s="146" t="str">
        <f>IFERROR(_xlfn.IFNA(IF($BA251="No",0,IF(INDEX(Constants!J:J,MATCH(($I251/12),Constants!$A:$A,0))=0,0,INDEX(Constants!J:J,MATCH(($I251/12),Constants!$A:$A,0)))),0),"")</f>
        <v/>
      </c>
      <c r="AZ251" s="146" t="str">
        <f>IFERROR(_xlfn.IFNA(IF($BA251="No",0,IF(INDEX(Constants!K:K,MATCH(($I251/12),Constants!$A:$A,0))=0,0,INDEX(Constants!K:K,MATCH(($I251/12),Constants!$A:$A,0)))),0),"")</f>
        <v/>
      </c>
      <c r="BA251" s="147" t="str">
        <f>_xlfn.IFNA(INDEX(Producer!$L:$L,MATCH($D251,Producer!$A:$A,0)),"")</f>
        <v/>
      </c>
      <c r="BB251" s="146" t="str">
        <f>IFERROR(IF(AQ251=0,"",IF(($I251/12)=15,_xlfn.CONCAT(Constants!$N$7,TEXT(DATE(YEAR(H251)-(($I251/12)-3),MONTH(H251),DAY(H251)),"dd/mm/yyyy"),", ",Constants!$P$7,TEXT(DATE(YEAR(H251)-(($I251/12)-8),MONTH(H251),DAY(H251)),"dd/mm/yyyy"),", ",Constants!$T$7,TEXT(DATE(YEAR(H251)-(($I251/12)-11),MONTH(H251),DAY(H251)),"dd/mm/yyyy"),", ",Constants!$V$7,TEXT(DATE(YEAR(H251)-(($I251/12)-13),MONTH(H251),DAY(H251)),"dd/mm/yyyy"),", ",Constants!$W$7,TEXT($H251,"dd/mm/yyyy")),IF(($I251/12)=10,_xlfn.CONCAT(Constants!$N$6,TEXT(DATE(YEAR(H251)-(($I251/12)-2),MONTH(H251),DAY(H251)),"dd/mm/yyyy"),", ",Constants!$P$6,TEXT(DATE(YEAR(H251)-(($I251/12)-6),MONTH(H251),DAY(H251)),"dd/mm/yyyy"),", ",Constants!$T$6,TEXT(DATE(YEAR(H251)-(($I251/12)-8),MONTH(H251),DAY(H251)),"dd/mm/yyyy"),", ",Constants!$V$6,TEXT(DATE(YEAR(H251)-(($I251/12)-9),MONTH(H251),DAY(H251)),"dd/mm/yyyy"),", ",Constants!$W$6,TEXT($H251,"dd/mm/yyyy")),IF(($I251/12)=5,_xlfn.CONCAT(Constants!$N$5,TEXT(DATE(YEAR(H251)-(($I251/12)-1),MONTH(H251),DAY(H251)),"dd/mm/yyyy"),", ",Constants!$O$5,TEXT(DATE(YEAR(H251)-(($I251/12)-2),MONTH(H251),DAY(H251)),"dd/mm/yyyy"),", ",Constants!$P$5,TEXT(DATE(YEAR(H251)-(($I251/12)-3),MONTH(H251),DAY(H251)),"dd/mm/yyyy"),", ",Constants!$Q$5,TEXT(DATE(YEAR(H251)-(($I251/12)-4),MONTH(H251),DAY(H251)),"dd/mm/yyyy"),", ",Constants!$R$5,TEXT($H251,"dd/mm/yyyy")),IF(($I251/12)=3,_xlfn.CONCAT(Constants!$N$4,TEXT(DATE(YEAR(H251)-(($I251/12)-1),MONTH(H251),DAY(H251)),"dd/mm/yyyy"),", ",Constants!$O$4,TEXT(DATE(YEAR(H251)-(($I251/12)-2),MONTH(H251),DAY(H251)),"dd/mm/yyyy"),", ",Constants!$P$4,TEXT($H251,"dd/mm/yyyy")),IF(($I251/12)=2,_xlfn.CONCAT(Constants!$N$3,TEXT(DATE(YEAR(H251)-(($I251/12)-1),MONTH(H251),DAY(H251)),"dd/mm/yyyy"),", ",Constants!$O$3,TEXT($H251,"dd/mm/yyyy")),IF(($I251/12)=1,_xlfn.CONCAT(Constants!$N$2,TEXT($H251,"dd/mm/yyyy")),"Update Constants"))))))),"")</f>
        <v/>
      </c>
      <c r="BC251" s="147" t="str">
        <f>_xlfn.IFNA(VALUE(INDEX(Producer!$K:$K,MATCH($D251,Producer!$A:$A,0))),"")</f>
        <v/>
      </c>
      <c r="BD251" s="147" t="str">
        <f>_xlfn.IFNA(INDEX(Producer!$I:$I,MATCH($D251,Producer!$A:$A,0)),"")</f>
        <v/>
      </c>
      <c r="BE251" s="147" t="str">
        <f t="shared" si="92"/>
        <v/>
      </c>
      <c r="BF251" s="147"/>
      <c r="BG251" s="147"/>
      <c r="BH251" s="151" t="str">
        <f>_xlfn.IFNA(INDEX(Constants!$B:$B,MATCH(BC251,Constants!A:A,0)),"")</f>
        <v/>
      </c>
      <c r="BI251" s="147" t="str">
        <f>IF(LEFT(B251,15)="Limited Company",Constants!$D$16,IFERROR(_xlfn.IFNA(IF(C251="Residential",IF(BK251&lt;75,INDEX(Constants!$B:$B,MATCH(VALUE(60)/100,Constants!$A:$A,0)),INDEX(Constants!$B:$B,MATCH(VALUE(BK251)/100,Constants!$A:$A,0))),IF(BK251&lt;60,INDEX(Constants!$C:$C,MATCH(VALUE(60)/100,Constants!$A:$A,0)),INDEX(Constants!$C:$C,MATCH(VALUE(BK251)/100,Constants!$A:$A,0)))),""),""))</f>
        <v/>
      </c>
      <c r="BJ251" s="147" t="str">
        <f t="shared" si="93"/>
        <v/>
      </c>
      <c r="BK251" s="147" t="str">
        <f>_xlfn.IFNA(VALUE(INDEX(Producer!$E:$E,MATCH($D251,Producer!$A:$A,0)))*100,"")</f>
        <v/>
      </c>
      <c r="BL251" s="146" t="str">
        <f>_xlfn.IFNA(IF(IFERROR(FIND("Part &amp; Part",B251),-10)&gt;0,"PP",IF(OR(LEFT(B251,25)="Residential Interest Only",INDEX(Producer!$P:$P,MATCH($D251,Producer!$A:$A,0))="IO",INDEX(Producer!$P:$P,MATCH($D251,Producer!$A:$A,0))="Retirement Interest Only"),"IO",IF($C251="BuyToLet","CI, IO","CI"))),"")</f>
        <v/>
      </c>
      <c r="BM251" s="152" t="str">
        <f>_xlfn.IFNA(IF(BL251="IO",100%,IF(AND(INDEX(Producer!$P:$P,MATCH($D251,Producer!$A:$A,0))="Residential Interest Only Part &amp; Part",BK251=75),80%,IF(C251="BuyToLet",100%,IF(BL251="Interest Only",100%,IF(AND(INDEX(Producer!$P:$P,MATCH($D251,Producer!$A:$A,0))="Residential Interest Only Part &amp; Part",BK251=60),100%,""))))),"")</f>
        <v/>
      </c>
      <c r="BN251" s="218" t="str">
        <f>_xlfn.IFNA(IF(VALUE(INDEX(Producer!$H:$H,MATCH($D251,Producer!$A:$A,0)))=0,"",VALUE(INDEX(Producer!$H:$H,MATCH($D251,Producer!$A:$A,0)))),"")</f>
        <v/>
      </c>
      <c r="BO251" s="153"/>
      <c r="BP251" s="153"/>
      <c r="BQ251" s="219" t="str">
        <f t="shared" si="94"/>
        <v/>
      </c>
      <c r="BR251" s="146"/>
      <c r="BS251" s="146"/>
      <c r="BT251" s="146"/>
      <c r="BU251" s="146"/>
      <c r="BV251" s="219" t="str">
        <f t="shared" si="95"/>
        <v/>
      </c>
      <c r="BW251" s="146"/>
      <c r="BX251" s="146"/>
      <c r="BY251" s="146" t="str">
        <f t="shared" si="96"/>
        <v/>
      </c>
      <c r="BZ251" s="146" t="str">
        <f t="shared" si="97"/>
        <v/>
      </c>
      <c r="CA251" s="146" t="str">
        <f t="shared" si="98"/>
        <v/>
      </c>
      <c r="CB251" s="146" t="str">
        <f t="shared" si="99"/>
        <v/>
      </c>
      <c r="CC251" s="146" t="str">
        <f>_xlfn.IFNA(IF(INDEX(Producer!$P:$P,MATCH($D251,Producer!$A:$A,0))="Help to Buy","Only available","No"),"")</f>
        <v/>
      </c>
      <c r="CD251" s="146" t="str">
        <f>_xlfn.IFNA(IF(INDEX(Producer!$P:$P,MATCH($D251,Producer!$A:$A,0))="Shared Ownership","Only available","No"),"")</f>
        <v/>
      </c>
      <c r="CE251" s="146" t="str">
        <f>_xlfn.IFNA(IF(INDEX(Producer!$P:$P,MATCH($D251,Producer!$A:$A,0))="Right to Buy","Only available","No"),"")</f>
        <v/>
      </c>
      <c r="CF251" s="146" t="str">
        <f t="shared" si="100"/>
        <v/>
      </c>
      <c r="CG251" s="146" t="str">
        <f>_xlfn.IFNA(IF(INDEX(Producer!$P:$P,MATCH($D251,Producer!$A:$A,0))="Retirement Interest Only","Only available","No"),"")</f>
        <v/>
      </c>
      <c r="CH251" s="146" t="str">
        <f t="shared" si="101"/>
        <v/>
      </c>
      <c r="CI251" s="146" t="str">
        <f>_xlfn.IFNA(IF(INDEX(Producer!$P:$P,MATCH($D251,Producer!$A:$A,0))="Intermediary Holiday Let","Only available","No"),"")</f>
        <v/>
      </c>
      <c r="CJ251" s="146" t="str">
        <f t="shared" si="102"/>
        <v/>
      </c>
      <c r="CK251" s="146" t="str">
        <f>_xlfn.IFNA(IF(OR(INDEX(Producer!$P:$P,MATCH($D251,Producer!$A:$A,0))="Intermediary Small HMO",INDEX(Producer!$P:$P,MATCH($D251,Producer!$A:$A,0))="Intermediary Large HMO"),"Only available","No"),"")</f>
        <v/>
      </c>
      <c r="CL251" s="146" t="str">
        <f t="shared" si="103"/>
        <v/>
      </c>
      <c r="CM251" s="146" t="str">
        <f t="shared" si="104"/>
        <v/>
      </c>
      <c r="CN251" s="146" t="str">
        <f t="shared" si="105"/>
        <v/>
      </c>
      <c r="CO251" s="146" t="str">
        <f t="shared" si="106"/>
        <v/>
      </c>
      <c r="CP251" s="146" t="str">
        <f t="shared" si="107"/>
        <v/>
      </c>
      <c r="CQ251" s="146" t="str">
        <f t="shared" si="108"/>
        <v/>
      </c>
      <c r="CR251" s="146" t="str">
        <f t="shared" si="109"/>
        <v/>
      </c>
      <c r="CS251" s="146" t="str">
        <f t="shared" si="110"/>
        <v/>
      </c>
      <c r="CT251" s="146" t="str">
        <f t="shared" si="111"/>
        <v/>
      </c>
      <c r="CU251" s="146"/>
    </row>
    <row r="252" spans="1:99" ht="16.399999999999999" customHeight="1" x14ac:dyDescent="0.35">
      <c r="A252" s="145" t="str">
        <f t="shared" si="84"/>
        <v/>
      </c>
      <c r="B252" s="145" t="str">
        <f>_xlfn.IFNA(_xlfn.CONCAT(INDEX(Producer!$P:$P,MATCH($D252,Producer!$A:$A,0))," ",IF(INDEX(Producer!$N:$N,MATCH($D252,Producer!$A:$A,0))="Yes","Green ",""),IF(AND(INDEX(Producer!$L:$L,MATCH($D252,Producer!$A:$A,0))="No",INDEX(Producer!$C:$C,MATCH($D252,Producer!$A:$A,0))="Fixed"),"Flexit ",""),INDEX(Producer!$B:$B,MATCH($D252,Producer!$A:$A,0))," Year ",INDEX(Producer!$C:$C,MATCH($D252,Producer!$A:$A,0))," ",VALUE(INDEX(Producer!$E:$E,MATCH($D252,Producer!$A:$A,0)))*100,"% LTV",IF(INDEX(Producer!$N:$N,MATCH($D252,Producer!$A:$A,0))="Yes"," (EPC A-C)","")," - ",IF(INDEX(Producer!$D:$D,MATCH($D252,Producer!$A:$A,0))="DLY","Daily","Annual")),"")</f>
        <v/>
      </c>
      <c r="C252" s="146" t="str">
        <f>_xlfn.IFNA(INDEX(Producer!$Q:$Q,MATCH($D252,Producer!$A:$A,0)),"")</f>
        <v/>
      </c>
      <c r="D252" s="146" t="str">
        <f>IFERROR(VALUE(MID(Producer!$R$2,IF($D251="",1/0,FIND(_xlfn.CONCAT($D250,$D251),Producer!$R$2)+10),5)),"")</f>
        <v/>
      </c>
      <c r="E252" s="146" t="str">
        <f t="shared" si="85"/>
        <v/>
      </c>
      <c r="F252" s="146"/>
      <c r="G252" s="147" t="str">
        <f>_xlfn.IFNA(VALUE(INDEX(Producer!$F:$F,MATCH($D252,Producer!$A:$A,0)))*100,"")</f>
        <v/>
      </c>
      <c r="H252" s="216" t="str">
        <f>_xlfn.IFNA(IFERROR(DATEVALUE(INDEX(Producer!$M:$M,MATCH($D252,Producer!$A:$A,0))),(INDEX(Producer!$M:$M,MATCH($D252,Producer!$A:$A,0)))),"")</f>
        <v/>
      </c>
      <c r="I252" s="217" t="str">
        <f>_xlfn.IFNA(VALUE(INDEX(Producer!$B:$B,MATCH($D252,Producer!$A:$A,0)))*12,"")</f>
        <v/>
      </c>
      <c r="J252" s="146" t="str">
        <f>_xlfn.IFNA(IF(C252="Residential",IF(VALUE(INDEX(Producer!$B:$B,MATCH($D252,Producer!$A:$A,0)))&lt;5,Constants!$C$10,""),IF(VALUE(INDEX(Producer!$B:$B,MATCH($D252,Producer!$A:$A,0)))&lt;5,Constants!$C$11,"")),"")</f>
        <v/>
      </c>
      <c r="K252" s="216" t="str">
        <f>_xlfn.IFNA(IF(($I252)&lt;60,DATE(YEAR(H252)+(5-VALUE(INDEX(Producer!$B:$B,MATCH($D252,Producer!$A:$A,0)))),MONTH(H252),DAY(H252)),""),"")</f>
        <v/>
      </c>
      <c r="L252" s="153" t="str">
        <f t="shared" si="86"/>
        <v/>
      </c>
      <c r="M252" s="146"/>
      <c r="N252" s="148"/>
      <c r="O252" s="148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6"/>
      <c r="AK252" s="146" t="str">
        <f>IF(D252="","",IF(C252="Residential",Constants!$B$10,Constants!$B$11))</f>
        <v/>
      </c>
      <c r="AL252" s="146" t="str">
        <f t="shared" si="87"/>
        <v/>
      </c>
      <c r="AM252" s="206" t="str">
        <f t="shared" si="88"/>
        <v/>
      </c>
      <c r="AN252" s="146" t="str">
        <f t="shared" si="89"/>
        <v/>
      </c>
      <c r="AO252" s="149" t="str">
        <f t="shared" si="90"/>
        <v/>
      </c>
      <c r="AP252" s="150" t="str">
        <f t="shared" si="91"/>
        <v/>
      </c>
      <c r="AQ252" s="146" t="str">
        <f>IFERROR(_xlfn.IFNA(IF($BA252="No",0,IF(INDEX(Constants!B:B,MATCH(($I252/12),Constants!$A:$A,0))=0,0,INDEX(Constants!B:B,MATCH(($I252/12),Constants!$A:$A,0)))),0),"")</f>
        <v/>
      </c>
      <c r="AR252" s="146" t="str">
        <f>IFERROR(_xlfn.IFNA(IF($BA252="No",0,IF(INDEX(Constants!C:C,MATCH(($I252/12),Constants!$A:$A,0))=0,0,INDEX(Constants!C:C,MATCH(($I252/12),Constants!$A:$A,0)))),0),"")</f>
        <v/>
      </c>
      <c r="AS252" s="146" t="str">
        <f>IFERROR(_xlfn.IFNA(IF($BA252="No",0,IF(INDEX(Constants!D:D,MATCH(($I252/12),Constants!$A:$A,0))=0,0,INDEX(Constants!D:D,MATCH(($I252/12),Constants!$A:$A,0)))),0),"")</f>
        <v/>
      </c>
      <c r="AT252" s="146" t="str">
        <f>IFERROR(_xlfn.IFNA(IF($BA252="No",0,IF(INDEX(Constants!E:E,MATCH(($I252/12),Constants!$A:$A,0))=0,0,INDEX(Constants!E:E,MATCH(($I252/12),Constants!$A:$A,0)))),0),"")</f>
        <v/>
      </c>
      <c r="AU252" s="146" t="str">
        <f>IFERROR(_xlfn.IFNA(IF($BA252="No",0,IF(INDEX(Constants!F:F,MATCH(($I252/12),Constants!$A:$A,0))=0,0,INDEX(Constants!F:F,MATCH(($I252/12),Constants!$A:$A,0)))),0),"")</f>
        <v/>
      </c>
      <c r="AV252" s="146" t="str">
        <f>IFERROR(_xlfn.IFNA(IF($BA252="No",0,IF(INDEX(Constants!G:G,MATCH(($I252/12),Constants!$A:$A,0))=0,0,INDEX(Constants!G:G,MATCH(($I252/12),Constants!$A:$A,0)))),0),"")</f>
        <v/>
      </c>
      <c r="AW252" s="146" t="str">
        <f>IFERROR(_xlfn.IFNA(IF($BA252="No",0,IF(INDEX(Constants!H:H,MATCH(($I252/12),Constants!$A:$A,0))=0,0,INDEX(Constants!H:H,MATCH(($I252/12),Constants!$A:$A,0)))),0),"")</f>
        <v/>
      </c>
      <c r="AX252" s="146" t="str">
        <f>IFERROR(_xlfn.IFNA(IF($BA252="No",0,IF(INDEX(Constants!I:I,MATCH(($I252/12),Constants!$A:$A,0))=0,0,INDEX(Constants!I:I,MATCH(($I252/12),Constants!$A:$A,0)))),0),"")</f>
        <v/>
      </c>
      <c r="AY252" s="146" t="str">
        <f>IFERROR(_xlfn.IFNA(IF($BA252="No",0,IF(INDEX(Constants!J:J,MATCH(($I252/12),Constants!$A:$A,0))=0,0,INDEX(Constants!J:J,MATCH(($I252/12),Constants!$A:$A,0)))),0),"")</f>
        <v/>
      </c>
      <c r="AZ252" s="146" t="str">
        <f>IFERROR(_xlfn.IFNA(IF($BA252="No",0,IF(INDEX(Constants!K:K,MATCH(($I252/12),Constants!$A:$A,0))=0,0,INDEX(Constants!K:K,MATCH(($I252/12),Constants!$A:$A,0)))),0),"")</f>
        <v/>
      </c>
      <c r="BA252" s="147" t="str">
        <f>_xlfn.IFNA(INDEX(Producer!$L:$L,MATCH($D252,Producer!$A:$A,0)),"")</f>
        <v/>
      </c>
      <c r="BB252" s="146" t="str">
        <f>IFERROR(IF(AQ252=0,"",IF(($I252/12)=15,_xlfn.CONCAT(Constants!$N$7,TEXT(DATE(YEAR(H252)-(($I252/12)-3),MONTH(H252),DAY(H252)),"dd/mm/yyyy"),", ",Constants!$P$7,TEXT(DATE(YEAR(H252)-(($I252/12)-8),MONTH(H252),DAY(H252)),"dd/mm/yyyy"),", ",Constants!$T$7,TEXT(DATE(YEAR(H252)-(($I252/12)-11),MONTH(H252),DAY(H252)),"dd/mm/yyyy"),", ",Constants!$V$7,TEXT(DATE(YEAR(H252)-(($I252/12)-13),MONTH(H252),DAY(H252)),"dd/mm/yyyy"),", ",Constants!$W$7,TEXT($H252,"dd/mm/yyyy")),IF(($I252/12)=10,_xlfn.CONCAT(Constants!$N$6,TEXT(DATE(YEAR(H252)-(($I252/12)-2),MONTH(H252),DAY(H252)),"dd/mm/yyyy"),", ",Constants!$P$6,TEXT(DATE(YEAR(H252)-(($I252/12)-6),MONTH(H252),DAY(H252)),"dd/mm/yyyy"),", ",Constants!$T$6,TEXT(DATE(YEAR(H252)-(($I252/12)-8),MONTH(H252),DAY(H252)),"dd/mm/yyyy"),", ",Constants!$V$6,TEXT(DATE(YEAR(H252)-(($I252/12)-9),MONTH(H252),DAY(H252)),"dd/mm/yyyy"),", ",Constants!$W$6,TEXT($H252,"dd/mm/yyyy")),IF(($I252/12)=5,_xlfn.CONCAT(Constants!$N$5,TEXT(DATE(YEAR(H252)-(($I252/12)-1),MONTH(H252),DAY(H252)),"dd/mm/yyyy"),", ",Constants!$O$5,TEXT(DATE(YEAR(H252)-(($I252/12)-2),MONTH(H252),DAY(H252)),"dd/mm/yyyy"),", ",Constants!$P$5,TEXT(DATE(YEAR(H252)-(($I252/12)-3),MONTH(H252),DAY(H252)),"dd/mm/yyyy"),", ",Constants!$Q$5,TEXT(DATE(YEAR(H252)-(($I252/12)-4),MONTH(H252),DAY(H252)),"dd/mm/yyyy"),", ",Constants!$R$5,TEXT($H252,"dd/mm/yyyy")),IF(($I252/12)=3,_xlfn.CONCAT(Constants!$N$4,TEXT(DATE(YEAR(H252)-(($I252/12)-1),MONTH(H252),DAY(H252)),"dd/mm/yyyy"),", ",Constants!$O$4,TEXT(DATE(YEAR(H252)-(($I252/12)-2),MONTH(H252),DAY(H252)),"dd/mm/yyyy"),", ",Constants!$P$4,TEXT($H252,"dd/mm/yyyy")),IF(($I252/12)=2,_xlfn.CONCAT(Constants!$N$3,TEXT(DATE(YEAR(H252)-(($I252/12)-1),MONTH(H252),DAY(H252)),"dd/mm/yyyy"),", ",Constants!$O$3,TEXT($H252,"dd/mm/yyyy")),IF(($I252/12)=1,_xlfn.CONCAT(Constants!$N$2,TEXT($H252,"dd/mm/yyyy")),"Update Constants"))))))),"")</f>
        <v/>
      </c>
      <c r="BC252" s="147" t="str">
        <f>_xlfn.IFNA(VALUE(INDEX(Producer!$K:$K,MATCH($D252,Producer!$A:$A,0))),"")</f>
        <v/>
      </c>
      <c r="BD252" s="147" t="str">
        <f>_xlfn.IFNA(INDEX(Producer!$I:$I,MATCH($D252,Producer!$A:$A,0)),"")</f>
        <v/>
      </c>
      <c r="BE252" s="147" t="str">
        <f t="shared" si="92"/>
        <v/>
      </c>
      <c r="BF252" s="147"/>
      <c r="BG252" s="147"/>
      <c r="BH252" s="151" t="str">
        <f>_xlfn.IFNA(INDEX(Constants!$B:$B,MATCH(BC252,Constants!A:A,0)),"")</f>
        <v/>
      </c>
      <c r="BI252" s="147" t="str">
        <f>IF(LEFT(B252,15)="Limited Company",Constants!$D$16,IFERROR(_xlfn.IFNA(IF(C252="Residential",IF(BK252&lt;75,INDEX(Constants!$B:$B,MATCH(VALUE(60)/100,Constants!$A:$A,0)),INDEX(Constants!$B:$B,MATCH(VALUE(BK252)/100,Constants!$A:$A,0))),IF(BK252&lt;60,INDEX(Constants!$C:$C,MATCH(VALUE(60)/100,Constants!$A:$A,0)),INDEX(Constants!$C:$C,MATCH(VALUE(BK252)/100,Constants!$A:$A,0)))),""),""))</f>
        <v/>
      </c>
      <c r="BJ252" s="147" t="str">
        <f t="shared" si="93"/>
        <v/>
      </c>
      <c r="BK252" s="147" t="str">
        <f>_xlfn.IFNA(VALUE(INDEX(Producer!$E:$E,MATCH($D252,Producer!$A:$A,0)))*100,"")</f>
        <v/>
      </c>
      <c r="BL252" s="146" t="str">
        <f>_xlfn.IFNA(IF(IFERROR(FIND("Part &amp; Part",B252),-10)&gt;0,"PP",IF(OR(LEFT(B252,25)="Residential Interest Only",INDEX(Producer!$P:$P,MATCH($D252,Producer!$A:$A,0))="IO",INDEX(Producer!$P:$P,MATCH($D252,Producer!$A:$A,0))="Retirement Interest Only"),"IO",IF($C252="BuyToLet","CI, IO","CI"))),"")</f>
        <v/>
      </c>
      <c r="BM252" s="152" t="str">
        <f>_xlfn.IFNA(IF(BL252="IO",100%,IF(AND(INDEX(Producer!$P:$P,MATCH($D252,Producer!$A:$A,0))="Residential Interest Only Part &amp; Part",BK252=75),80%,IF(C252="BuyToLet",100%,IF(BL252="Interest Only",100%,IF(AND(INDEX(Producer!$P:$P,MATCH($D252,Producer!$A:$A,0))="Residential Interest Only Part &amp; Part",BK252=60),100%,""))))),"")</f>
        <v/>
      </c>
      <c r="BN252" s="218" t="str">
        <f>_xlfn.IFNA(IF(VALUE(INDEX(Producer!$H:$H,MATCH($D252,Producer!$A:$A,0)))=0,"",VALUE(INDEX(Producer!$H:$H,MATCH($D252,Producer!$A:$A,0)))),"")</f>
        <v/>
      </c>
      <c r="BO252" s="153"/>
      <c r="BP252" s="153"/>
      <c r="BQ252" s="219" t="str">
        <f t="shared" si="94"/>
        <v/>
      </c>
      <c r="BR252" s="146"/>
      <c r="BS252" s="146"/>
      <c r="BT252" s="146"/>
      <c r="BU252" s="146"/>
      <c r="BV252" s="219" t="str">
        <f t="shared" si="95"/>
        <v/>
      </c>
      <c r="BW252" s="146"/>
      <c r="BX252" s="146"/>
      <c r="BY252" s="146" t="str">
        <f t="shared" si="96"/>
        <v/>
      </c>
      <c r="BZ252" s="146" t="str">
        <f t="shared" si="97"/>
        <v/>
      </c>
      <c r="CA252" s="146" t="str">
        <f t="shared" si="98"/>
        <v/>
      </c>
      <c r="CB252" s="146" t="str">
        <f t="shared" si="99"/>
        <v/>
      </c>
      <c r="CC252" s="146" t="str">
        <f>_xlfn.IFNA(IF(INDEX(Producer!$P:$P,MATCH($D252,Producer!$A:$A,0))="Help to Buy","Only available","No"),"")</f>
        <v/>
      </c>
      <c r="CD252" s="146" t="str">
        <f>_xlfn.IFNA(IF(INDEX(Producer!$P:$P,MATCH($D252,Producer!$A:$A,0))="Shared Ownership","Only available","No"),"")</f>
        <v/>
      </c>
      <c r="CE252" s="146" t="str">
        <f>_xlfn.IFNA(IF(INDEX(Producer!$P:$P,MATCH($D252,Producer!$A:$A,0))="Right to Buy","Only available","No"),"")</f>
        <v/>
      </c>
      <c r="CF252" s="146" t="str">
        <f t="shared" si="100"/>
        <v/>
      </c>
      <c r="CG252" s="146" t="str">
        <f>_xlfn.IFNA(IF(INDEX(Producer!$P:$P,MATCH($D252,Producer!$A:$A,0))="Retirement Interest Only","Only available","No"),"")</f>
        <v/>
      </c>
      <c r="CH252" s="146" t="str">
        <f t="shared" si="101"/>
        <v/>
      </c>
      <c r="CI252" s="146" t="str">
        <f>_xlfn.IFNA(IF(INDEX(Producer!$P:$P,MATCH($D252,Producer!$A:$A,0))="Intermediary Holiday Let","Only available","No"),"")</f>
        <v/>
      </c>
      <c r="CJ252" s="146" t="str">
        <f t="shared" si="102"/>
        <v/>
      </c>
      <c r="CK252" s="146" t="str">
        <f>_xlfn.IFNA(IF(OR(INDEX(Producer!$P:$P,MATCH($D252,Producer!$A:$A,0))="Intermediary Small HMO",INDEX(Producer!$P:$P,MATCH($D252,Producer!$A:$A,0))="Intermediary Large HMO"),"Only available","No"),"")</f>
        <v/>
      </c>
      <c r="CL252" s="146" t="str">
        <f t="shared" si="103"/>
        <v/>
      </c>
      <c r="CM252" s="146" t="str">
        <f t="shared" si="104"/>
        <v/>
      </c>
      <c r="CN252" s="146" t="str">
        <f t="shared" si="105"/>
        <v/>
      </c>
      <c r="CO252" s="146" t="str">
        <f t="shared" si="106"/>
        <v/>
      </c>
      <c r="CP252" s="146" t="str">
        <f t="shared" si="107"/>
        <v/>
      </c>
      <c r="CQ252" s="146" t="str">
        <f t="shared" si="108"/>
        <v/>
      </c>
      <c r="CR252" s="146" t="str">
        <f t="shared" si="109"/>
        <v/>
      </c>
      <c r="CS252" s="146" t="str">
        <f t="shared" si="110"/>
        <v/>
      </c>
      <c r="CT252" s="146" t="str">
        <f t="shared" si="111"/>
        <v/>
      </c>
      <c r="CU252" s="146"/>
    </row>
    <row r="253" spans="1:99" ht="16.399999999999999" customHeight="1" x14ac:dyDescent="0.35">
      <c r="A253" s="145" t="str">
        <f t="shared" si="84"/>
        <v/>
      </c>
      <c r="B253" s="145" t="str">
        <f>_xlfn.IFNA(_xlfn.CONCAT(INDEX(Producer!$P:$P,MATCH($D253,Producer!$A:$A,0))," ",IF(INDEX(Producer!$N:$N,MATCH($D253,Producer!$A:$A,0))="Yes","Green ",""),IF(AND(INDEX(Producer!$L:$L,MATCH($D253,Producer!$A:$A,0))="No",INDEX(Producer!$C:$C,MATCH($D253,Producer!$A:$A,0))="Fixed"),"Flexit ",""),INDEX(Producer!$B:$B,MATCH($D253,Producer!$A:$A,0))," Year ",INDEX(Producer!$C:$C,MATCH($D253,Producer!$A:$A,0))," ",VALUE(INDEX(Producer!$E:$E,MATCH($D253,Producer!$A:$A,0)))*100,"% LTV",IF(INDEX(Producer!$N:$N,MATCH($D253,Producer!$A:$A,0))="Yes"," (EPC A-C)","")," - ",IF(INDEX(Producer!$D:$D,MATCH($D253,Producer!$A:$A,0))="DLY","Daily","Annual")),"")</f>
        <v/>
      </c>
      <c r="C253" s="146" t="str">
        <f>_xlfn.IFNA(INDEX(Producer!$Q:$Q,MATCH($D253,Producer!$A:$A,0)),"")</f>
        <v/>
      </c>
      <c r="D253" s="146" t="str">
        <f>IFERROR(VALUE(MID(Producer!$R$2,IF($D252="",1/0,FIND(_xlfn.CONCAT($D251,$D252),Producer!$R$2)+10),5)),"")</f>
        <v/>
      </c>
      <c r="E253" s="146" t="str">
        <f t="shared" si="85"/>
        <v/>
      </c>
      <c r="F253" s="146"/>
      <c r="G253" s="147" t="str">
        <f>_xlfn.IFNA(VALUE(INDEX(Producer!$F:$F,MATCH($D253,Producer!$A:$A,0)))*100,"")</f>
        <v/>
      </c>
      <c r="H253" s="216" t="str">
        <f>_xlfn.IFNA(IFERROR(DATEVALUE(INDEX(Producer!$M:$M,MATCH($D253,Producer!$A:$A,0))),(INDEX(Producer!$M:$M,MATCH($D253,Producer!$A:$A,0)))),"")</f>
        <v/>
      </c>
      <c r="I253" s="217" t="str">
        <f>_xlfn.IFNA(VALUE(INDEX(Producer!$B:$B,MATCH($D253,Producer!$A:$A,0)))*12,"")</f>
        <v/>
      </c>
      <c r="J253" s="146" t="str">
        <f>_xlfn.IFNA(IF(C253="Residential",IF(VALUE(INDEX(Producer!$B:$B,MATCH($D253,Producer!$A:$A,0)))&lt;5,Constants!$C$10,""),IF(VALUE(INDEX(Producer!$B:$B,MATCH($D253,Producer!$A:$A,0)))&lt;5,Constants!$C$11,"")),"")</f>
        <v/>
      </c>
      <c r="K253" s="216" t="str">
        <f>_xlfn.IFNA(IF(($I253)&lt;60,DATE(YEAR(H253)+(5-VALUE(INDEX(Producer!$B:$B,MATCH($D253,Producer!$A:$A,0)))),MONTH(H253),DAY(H253)),""),"")</f>
        <v/>
      </c>
      <c r="L253" s="153" t="str">
        <f t="shared" si="86"/>
        <v/>
      </c>
      <c r="M253" s="146"/>
      <c r="N253" s="148"/>
      <c r="O253" s="148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 t="str">
        <f>IF(D253="","",IF(C253="Residential",Constants!$B$10,Constants!$B$11))</f>
        <v/>
      </c>
      <c r="AL253" s="146" t="str">
        <f t="shared" si="87"/>
        <v/>
      </c>
      <c r="AM253" s="206" t="str">
        <f t="shared" si="88"/>
        <v/>
      </c>
      <c r="AN253" s="146" t="str">
        <f t="shared" si="89"/>
        <v/>
      </c>
      <c r="AO253" s="149" t="str">
        <f t="shared" si="90"/>
        <v/>
      </c>
      <c r="AP253" s="150" t="str">
        <f t="shared" si="91"/>
        <v/>
      </c>
      <c r="AQ253" s="146" t="str">
        <f>IFERROR(_xlfn.IFNA(IF($BA253="No",0,IF(INDEX(Constants!B:B,MATCH(($I253/12),Constants!$A:$A,0))=0,0,INDEX(Constants!B:B,MATCH(($I253/12),Constants!$A:$A,0)))),0),"")</f>
        <v/>
      </c>
      <c r="AR253" s="146" t="str">
        <f>IFERROR(_xlfn.IFNA(IF($BA253="No",0,IF(INDEX(Constants!C:C,MATCH(($I253/12),Constants!$A:$A,0))=0,0,INDEX(Constants!C:C,MATCH(($I253/12),Constants!$A:$A,0)))),0),"")</f>
        <v/>
      </c>
      <c r="AS253" s="146" t="str">
        <f>IFERROR(_xlfn.IFNA(IF($BA253="No",0,IF(INDEX(Constants!D:D,MATCH(($I253/12),Constants!$A:$A,0))=0,0,INDEX(Constants!D:D,MATCH(($I253/12),Constants!$A:$A,0)))),0),"")</f>
        <v/>
      </c>
      <c r="AT253" s="146" t="str">
        <f>IFERROR(_xlfn.IFNA(IF($BA253="No",0,IF(INDEX(Constants!E:E,MATCH(($I253/12),Constants!$A:$A,0))=0,0,INDEX(Constants!E:E,MATCH(($I253/12),Constants!$A:$A,0)))),0),"")</f>
        <v/>
      </c>
      <c r="AU253" s="146" t="str">
        <f>IFERROR(_xlfn.IFNA(IF($BA253="No",0,IF(INDEX(Constants!F:F,MATCH(($I253/12),Constants!$A:$A,0))=0,0,INDEX(Constants!F:F,MATCH(($I253/12),Constants!$A:$A,0)))),0),"")</f>
        <v/>
      </c>
      <c r="AV253" s="146" t="str">
        <f>IFERROR(_xlfn.IFNA(IF($BA253="No",0,IF(INDEX(Constants!G:G,MATCH(($I253/12),Constants!$A:$A,0))=0,0,INDEX(Constants!G:G,MATCH(($I253/12),Constants!$A:$A,0)))),0),"")</f>
        <v/>
      </c>
      <c r="AW253" s="146" t="str">
        <f>IFERROR(_xlfn.IFNA(IF($BA253="No",0,IF(INDEX(Constants!H:H,MATCH(($I253/12),Constants!$A:$A,0))=0,0,INDEX(Constants!H:H,MATCH(($I253/12),Constants!$A:$A,0)))),0),"")</f>
        <v/>
      </c>
      <c r="AX253" s="146" t="str">
        <f>IFERROR(_xlfn.IFNA(IF($BA253="No",0,IF(INDEX(Constants!I:I,MATCH(($I253/12),Constants!$A:$A,0))=0,0,INDEX(Constants!I:I,MATCH(($I253/12),Constants!$A:$A,0)))),0),"")</f>
        <v/>
      </c>
      <c r="AY253" s="146" t="str">
        <f>IFERROR(_xlfn.IFNA(IF($BA253="No",0,IF(INDEX(Constants!J:J,MATCH(($I253/12),Constants!$A:$A,0))=0,0,INDEX(Constants!J:J,MATCH(($I253/12),Constants!$A:$A,0)))),0),"")</f>
        <v/>
      </c>
      <c r="AZ253" s="146" t="str">
        <f>IFERROR(_xlfn.IFNA(IF($BA253="No",0,IF(INDEX(Constants!K:K,MATCH(($I253/12),Constants!$A:$A,0))=0,0,INDEX(Constants!K:K,MATCH(($I253/12),Constants!$A:$A,0)))),0),"")</f>
        <v/>
      </c>
      <c r="BA253" s="147" t="str">
        <f>_xlfn.IFNA(INDEX(Producer!$L:$L,MATCH($D253,Producer!$A:$A,0)),"")</f>
        <v/>
      </c>
      <c r="BB253" s="146" t="str">
        <f>IFERROR(IF(AQ253=0,"",IF(($I253/12)=15,_xlfn.CONCAT(Constants!$N$7,TEXT(DATE(YEAR(H253)-(($I253/12)-3),MONTH(H253),DAY(H253)),"dd/mm/yyyy"),", ",Constants!$P$7,TEXT(DATE(YEAR(H253)-(($I253/12)-8),MONTH(H253),DAY(H253)),"dd/mm/yyyy"),", ",Constants!$T$7,TEXT(DATE(YEAR(H253)-(($I253/12)-11),MONTH(H253),DAY(H253)),"dd/mm/yyyy"),", ",Constants!$V$7,TEXT(DATE(YEAR(H253)-(($I253/12)-13),MONTH(H253),DAY(H253)),"dd/mm/yyyy"),", ",Constants!$W$7,TEXT($H253,"dd/mm/yyyy")),IF(($I253/12)=10,_xlfn.CONCAT(Constants!$N$6,TEXT(DATE(YEAR(H253)-(($I253/12)-2),MONTH(H253),DAY(H253)),"dd/mm/yyyy"),", ",Constants!$P$6,TEXT(DATE(YEAR(H253)-(($I253/12)-6),MONTH(H253),DAY(H253)),"dd/mm/yyyy"),", ",Constants!$T$6,TEXT(DATE(YEAR(H253)-(($I253/12)-8),MONTH(H253),DAY(H253)),"dd/mm/yyyy"),", ",Constants!$V$6,TEXT(DATE(YEAR(H253)-(($I253/12)-9),MONTH(H253),DAY(H253)),"dd/mm/yyyy"),", ",Constants!$W$6,TEXT($H253,"dd/mm/yyyy")),IF(($I253/12)=5,_xlfn.CONCAT(Constants!$N$5,TEXT(DATE(YEAR(H253)-(($I253/12)-1),MONTH(H253),DAY(H253)),"dd/mm/yyyy"),", ",Constants!$O$5,TEXT(DATE(YEAR(H253)-(($I253/12)-2),MONTH(H253),DAY(H253)),"dd/mm/yyyy"),", ",Constants!$P$5,TEXT(DATE(YEAR(H253)-(($I253/12)-3),MONTH(H253),DAY(H253)),"dd/mm/yyyy"),", ",Constants!$Q$5,TEXT(DATE(YEAR(H253)-(($I253/12)-4),MONTH(H253),DAY(H253)),"dd/mm/yyyy"),", ",Constants!$R$5,TEXT($H253,"dd/mm/yyyy")),IF(($I253/12)=3,_xlfn.CONCAT(Constants!$N$4,TEXT(DATE(YEAR(H253)-(($I253/12)-1),MONTH(H253),DAY(H253)),"dd/mm/yyyy"),", ",Constants!$O$4,TEXT(DATE(YEAR(H253)-(($I253/12)-2),MONTH(H253),DAY(H253)),"dd/mm/yyyy"),", ",Constants!$P$4,TEXT($H253,"dd/mm/yyyy")),IF(($I253/12)=2,_xlfn.CONCAT(Constants!$N$3,TEXT(DATE(YEAR(H253)-(($I253/12)-1),MONTH(H253),DAY(H253)),"dd/mm/yyyy"),", ",Constants!$O$3,TEXT($H253,"dd/mm/yyyy")),IF(($I253/12)=1,_xlfn.CONCAT(Constants!$N$2,TEXT($H253,"dd/mm/yyyy")),"Update Constants"))))))),"")</f>
        <v/>
      </c>
      <c r="BC253" s="147" t="str">
        <f>_xlfn.IFNA(VALUE(INDEX(Producer!$K:$K,MATCH($D253,Producer!$A:$A,0))),"")</f>
        <v/>
      </c>
      <c r="BD253" s="147" t="str">
        <f>_xlfn.IFNA(INDEX(Producer!$I:$I,MATCH($D253,Producer!$A:$A,0)),"")</f>
        <v/>
      </c>
      <c r="BE253" s="147" t="str">
        <f t="shared" si="92"/>
        <v/>
      </c>
      <c r="BF253" s="147"/>
      <c r="BG253" s="147"/>
      <c r="BH253" s="151" t="str">
        <f>_xlfn.IFNA(INDEX(Constants!$B:$B,MATCH(BC253,Constants!A:A,0)),"")</f>
        <v/>
      </c>
      <c r="BI253" s="147" t="str">
        <f>IF(LEFT(B253,15)="Limited Company",Constants!$D$16,IFERROR(_xlfn.IFNA(IF(C253="Residential",IF(BK253&lt;75,INDEX(Constants!$B:$B,MATCH(VALUE(60)/100,Constants!$A:$A,0)),INDEX(Constants!$B:$B,MATCH(VALUE(BK253)/100,Constants!$A:$A,0))),IF(BK253&lt;60,INDEX(Constants!$C:$C,MATCH(VALUE(60)/100,Constants!$A:$A,0)),INDEX(Constants!$C:$C,MATCH(VALUE(BK253)/100,Constants!$A:$A,0)))),""),""))</f>
        <v/>
      </c>
      <c r="BJ253" s="147" t="str">
        <f t="shared" si="93"/>
        <v/>
      </c>
      <c r="BK253" s="147" t="str">
        <f>_xlfn.IFNA(VALUE(INDEX(Producer!$E:$E,MATCH($D253,Producer!$A:$A,0)))*100,"")</f>
        <v/>
      </c>
      <c r="BL253" s="146" t="str">
        <f>_xlfn.IFNA(IF(IFERROR(FIND("Part &amp; Part",B253),-10)&gt;0,"PP",IF(OR(LEFT(B253,25)="Residential Interest Only",INDEX(Producer!$P:$P,MATCH($D253,Producer!$A:$A,0))="IO",INDEX(Producer!$P:$P,MATCH($D253,Producer!$A:$A,0))="Retirement Interest Only"),"IO",IF($C253="BuyToLet","CI, IO","CI"))),"")</f>
        <v/>
      </c>
      <c r="BM253" s="152" t="str">
        <f>_xlfn.IFNA(IF(BL253="IO",100%,IF(AND(INDEX(Producer!$P:$P,MATCH($D253,Producer!$A:$A,0))="Residential Interest Only Part &amp; Part",BK253=75),80%,IF(C253="BuyToLet",100%,IF(BL253="Interest Only",100%,IF(AND(INDEX(Producer!$P:$P,MATCH($D253,Producer!$A:$A,0))="Residential Interest Only Part &amp; Part",BK253=60),100%,""))))),"")</f>
        <v/>
      </c>
      <c r="BN253" s="218" t="str">
        <f>_xlfn.IFNA(IF(VALUE(INDEX(Producer!$H:$H,MATCH($D253,Producer!$A:$A,0)))=0,"",VALUE(INDEX(Producer!$H:$H,MATCH($D253,Producer!$A:$A,0)))),"")</f>
        <v/>
      </c>
      <c r="BO253" s="153"/>
      <c r="BP253" s="153"/>
      <c r="BQ253" s="219" t="str">
        <f t="shared" si="94"/>
        <v/>
      </c>
      <c r="BR253" s="146"/>
      <c r="BS253" s="146"/>
      <c r="BT253" s="146"/>
      <c r="BU253" s="146"/>
      <c r="BV253" s="219" t="str">
        <f t="shared" si="95"/>
        <v/>
      </c>
      <c r="BW253" s="146"/>
      <c r="BX253" s="146"/>
      <c r="BY253" s="146" t="str">
        <f t="shared" si="96"/>
        <v/>
      </c>
      <c r="BZ253" s="146" t="str">
        <f t="shared" si="97"/>
        <v/>
      </c>
      <c r="CA253" s="146" t="str">
        <f t="shared" si="98"/>
        <v/>
      </c>
      <c r="CB253" s="146" t="str">
        <f t="shared" si="99"/>
        <v/>
      </c>
      <c r="CC253" s="146" t="str">
        <f>_xlfn.IFNA(IF(INDEX(Producer!$P:$P,MATCH($D253,Producer!$A:$A,0))="Help to Buy","Only available","No"),"")</f>
        <v/>
      </c>
      <c r="CD253" s="146" t="str">
        <f>_xlfn.IFNA(IF(INDEX(Producer!$P:$P,MATCH($D253,Producer!$A:$A,0))="Shared Ownership","Only available","No"),"")</f>
        <v/>
      </c>
      <c r="CE253" s="146" t="str">
        <f>_xlfn.IFNA(IF(INDEX(Producer!$P:$P,MATCH($D253,Producer!$A:$A,0))="Right to Buy","Only available","No"),"")</f>
        <v/>
      </c>
      <c r="CF253" s="146" t="str">
        <f t="shared" si="100"/>
        <v/>
      </c>
      <c r="CG253" s="146" t="str">
        <f>_xlfn.IFNA(IF(INDEX(Producer!$P:$P,MATCH($D253,Producer!$A:$A,0))="Retirement Interest Only","Only available","No"),"")</f>
        <v/>
      </c>
      <c r="CH253" s="146" t="str">
        <f t="shared" si="101"/>
        <v/>
      </c>
      <c r="CI253" s="146" t="str">
        <f>_xlfn.IFNA(IF(INDEX(Producer!$P:$P,MATCH($D253,Producer!$A:$A,0))="Intermediary Holiday Let","Only available","No"),"")</f>
        <v/>
      </c>
      <c r="CJ253" s="146" t="str">
        <f t="shared" si="102"/>
        <v/>
      </c>
      <c r="CK253" s="146" t="str">
        <f>_xlfn.IFNA(IF(OR(INDEX(Producer!$P:$P,MATCH($D253,Producer!$A:$A,0))="Intermediary Small HMO",INDEX(Producer!$P:$P,MATCH($D253,Producer!$A:$A,0))="Intermediary Large HMO"),"Only available","No"),"")</f>
        <v/>
      </c>
      <c r="CL253" s="146" t="str">
        <f t="shared" si="103"/>
        <v/>
      </c>
      <c r="CM253" s="146" t="str">
        <f t="shared" si="104"/>
        <v/>
      </c>
      <c r="CN253" s="146" t="str">
        <f t="shared" si="105"/>
        <v/>
      </c>
      <c r="CO253" s="146" t="str">
        <f t="shared" si="106"/>
        <v/>
      </c>
      <c r="CP253" s="146" t="str">
        <f t="shared" si="107"/>
        <v/>
      </c>
      <c r="CQ253" s="146" t="str">
        <f t="shared" si="108"/>
        <v/>
      </c>
      <c r="CR253" s="146" t="str">
        <f t="shared" si="109"/>
        <v/>
      </c>
      <c r="CS253" s="146" t="str">
        <f t="shared" si="110"/>
        <v/>
      </c>
      <c r="CT253" s="146" t="str">
        <f t="shared" si="111"/>
        <v/>
      </c>
      <c r="CU253" s="146"/>
    </row>
    <row r="254" spans="1:99" ht="16.399999999999999" customHeight="1" x14ac:dyDescent="0.35">
      <c r="A254" s="145" t="str">
        <f t="shared" si="84"/>
        <v/>
      </c>
      <c r="B254" s="145" t="str">
        <f>_xlfn.IFNA(_xlfn.CONCAT(INDEX(Producer!$P:$P,MATCH($D254,Producer!$A:$A,0))," ",IF(INDEX(Producer!$N:$N,MATCH($D254,Producer!$A:$A,0))="Yes","Green ",""),IF(AND(INDEX(Producer!$L:$L,MATCH($D254,Producer!$A:$A,0))="No",INDEX(Producer!$C:$C,MATCH($D254,Producer!$A:$A,0))="Fixed"),"Flexit ",""),INDEX(Producer!$B:$B,MATCH($D254,Producer!$A:$A,0))," Year ",INDEX(Producer!$C:$C,MATCH($D254,Producer!$A:$A,0))," ",VALUE(INDEX(Producer!$E:$E,MATCH($D254,Producer!$A:$A,0)))*100,"% LTV",IF(INDEX(Producer!$N:$N,MATCH($D254,Producer!$A:$A,0))="Yes"," (EPC A-C)","")," - ",IF(INDEX(Producer!$D:$D,MATCH($D254,Producer!$A:$A,0))="DLY","Daily","Annual")),"")</f>
        <v/>
      </c>
      <c r="C254" s="146" t="str">
        <f>_xlfn.IFNA(INDEX(Producer!$Q:$Q,MATCH($D254,Producer!$A:$A,0)),"")</f>
        <v/>
      </c>
      <c r="D254" s="146" t="str">
        <f>IFERROR(VALUE(MID(Producer!$R$2,IF($D253="",1/0,FIND(_xlfn.CONCAT($D252,$D253),Producer!$R$2)+10),5)),"")</f>
        <v/>
      </c>
      <c r="E254" s="146" t="str">
        <f t="shared" si="85"/>
        <v/>
      </c>
      <c r="F254" s="146"/>
      <c r="G254" s="147" t="str">
        <f>_xlfn.IFNA(VALUE(INDEX(Producer!$F:$F,MATCH($D254,Producer!$A:$A,0)))*100,"")</f>
        <v/>
      </c>
      <c r="H254" s="216" t="str">
        <f>_xlfn.IFNA(IFERROR(DATEVALUE(INDEX(Producer!$M:$M,MATCH($D254,Producer!$A:$A,0))),(INDEX(Producer!$M:$M,MATCH($D254,Producer!$A:$A,0)))),"")</f>
        <v/>
      </c>
      <c r="I254" s="217" t="str">
        <f>_xlfn.IFNA(VALUE(INDEX(Producer!$B:$B,MATCH($D254,Producer!$A:$A,0)))*12,"")</f>
        <v/>
      </c>
      <c r="J254" s="146" t="str">
        <f>_xlfn.IFNA(IF(C254="Residential",IF(VALUE(INDEX(Producer!$B:$B,MATCH($D254,Producer!$A:$A,0)))&lt;5,Constants!$C$10,""),IF(VALUE(INDEX(Producer!$B:$B,MATCH($D254,Producer!$A:$A,0)))&lt;5,Constants!$C$11,"")),"")</f>
        <v/>
      </c>
      <c r="K254" s="216" t="str">
        <f>_xlfn.IFNA(IF(($I254)&lt;60,DATE(YEAR(H254)+(5-VALUE(INDEX(Producer!$B:$B,MATCH($D254,Producer!$A:$A,0)))),MONTH(H254),DAY(H254)),""),"")</f>
        <v/>
      </c>
      <c r="L254" s="153" t="str">
        <f t="shared" si="86"/>
        <v/>
      </c>
      <c r="M254" s="146"/>
      <c r="N254" s="148"/>
      <c r="O254" s="148"/>
      <c r="P254" s="146"/>
      <c r="Q254" s="146"/>
      <c r="R254" s="146"/>
      <c r="S254" s="146"/>
      <c r="T254" s="146"/>
      <c r="U254" s="146"/>
      <c r="V254" s="146"/>
      <c r="W254" s="146"/>
      <c r="X254" s="146"/>
      <c r="Y254" s="146"/>
      <c r="Z254" s="146"/>
      <c r="AA254" s="146"/>
      <c r="AB254" s="146"/>
      <c r="AC254" s="146"/>
      <c r="AD254" s="146"/>
      <c r="AE254" s="146"/>
      <c r="AF254" s="146"/>
      <c r="AG254" s="146"/>
      <c r="AH254" s="146"/>
      <c r="AI254" s="146"/>
      <c r="AJ254" s="146"/>
      <c r="AK254" s="146" t="str">
        <f>IF(D254="","",IF(C254="Residential",Constants!$B$10,Constants!$B$11))</f>
        <v/>
      </c>
      <c r="AL254" s="146" t="str">
        <f t="shared" si="87"/>
        <v/>
      </c>
      <c r="AM254" s="206" t="str">
        <f t="shared" si="88"/>
        <v/>
      </c>
      <c r="AN254" s="146" t="str">
        <f t="shared" si="89"/>
        <v/>
      </c>
      <c r="AO254" s="149" t="str">
        <f t="shared" si="90"/>
        <v/>
      </c>
      <c r="AP254" s="150" t="str">
        <f t="shared" si="91"/>
        <v/>
      </c>
      <c r="AQ254" s="146" t="str">
        <f>IFERROR(_xlfn.IFNA(IF($BA254="No",0,IF(INDEX(Constants!B:B,MATCH(($I254/12),Constants!$A:$A,0))=0,0,INDEX(Constants!B:B,MATCH(($I254/12),Constants!$A:$A,0)))),0),"")</f>
        <v/>
      </c>
      <c r="AR254" s="146" t="str">
        <f>IFERROR(_xlfn.IFNA(IF($BA254="No",0,IF(INDEX(Constants!C:C,MATCH(($I254/12),Constants!$A:$A,0))=0,0,INDEX(Constants!C:C,MATCH(($I254/12),Constants!$A:$A,0)))),0),"")</f>
        <v/>
      </c>
      <c r="AS254" s="146" t="str">
        <f>IFERROR(_xlfn.IFNA(IF($BA254="No",0,IF(INDEX(Constants!D:D,MATCH(($I254/12),Constants!$A:$A,0))=0,0,INDEX(Constants!D:D,MATCH(($I254/12),Constants!$A:$A,0)))),0),"")</f>
        <v/>
      </c>
      <c r="AT254" s="146" t="str">
        <f>IFERROR(_xlfn.IFNA(IF($BA254="No",0,IF(INDEX(Constants!E:E,MATCH(($I254/12),Constants!$A:$A,0))=0,0,INDEX(Constants!E:E,MATCH(($I254/12),Constants!$A:$A,0)))),0),"")</f>
        <v/>
      </c>
      <c r="AU254" s="146" t="str">
        <f>IFERROR(_xlfn.IFNA(IF($BA254="No",0,IF(INDEX(Constants!F:F,MATCH(($I254/12),Constants!$A:$A,0))=0,0,INDEX(Constants!F:F,MATCH(($I254/12),Constants!$A:$A,0)))),0),"")</f>
        <v/>
      </c>
      <c r="AV254" s="146" t="str">
        <f>IFERROR(_xlfn.IFNA(IF($BA254="No",0,IF(INDEX(Constants!G:G,MATCH(($I254/12),Constants!$A:$A,0))=0,0,INDEX(Constants!G:G,MATCH(($I254/12),Constants!$A:$A,0)))),0),"")</f>
        <v/>
      </c>
      <c r="AW254" s="146" t="str">
        <f>IFERROR(_xlfn.IFNA(IF($BA254="No",0,IF(INDEX(Constants!H:H,MATCH(($I254/12),Constants!$A:$A,0))=0,0,INDEX(Constants!H:H,MATCH(($I254/12),Constants!$A:$A,0)))),0),"")</f>
        <v/>
      </c>
      <c r="AX254" s="146" t="str">
        <f>IFERROR(_xlfn.IFNA(IF($BA254="No",0,IF(INDEX(Constants!I:I,MATCH(($I254/12),Constants!$A:$A,0))=0,0,INDEX(Constants!I:I,MATCH(($I254/12),Constants!$A:$A,0)))),0),"")</f>
        <v/>
      </c>
      <c r="AY254" s="146" t="str">
        <f>IFERROR(_xlfn.IFNA(IF($BA254="No",0,IF(INDEX(Constants!J:J,MATCH(($I254/12),Constants!$A:$A,0))=0,0,INDEX(Constants!J:J,MATCH(($I254/12),Constants!$A:$A,0)))),0),"")</f>
        <v/>
      </c>
      <c r="AZ254" s="146" t="str">
        <f>IFERROR(_xlfn.IFNA(IF($BA254="No",0,IF(INDEX(Constants!K:K,MATCH(($I254/12),Constants!$A:$A,0))=0,0,INDEX(Constants!K:K,MATCH(($I254/12),Constants!$A:$A,0)))),0),"")</f>
        <v/>
      </c>
      <c r="BA254" s="147" t="str">
        <f>_xlfn.IFNA(INDEX(Producer!$L:$L,MATCH($D254,Producer!$A:$A,0)),"")</f>
        <v/>
      </c>
      <c r="BB254" s="146" t="str">
        <f>IFERROR(IF(AQ254=0,"",IF(($I254/12)=15,_xlfn.CONCAT(Constants!$N$7,TEXT(DATE(YEAR(H254)-(($I254/12)-3),MONTH(H254),DAY(H254)),"dd/mm/yyyy"),", ",Constants!$P$7,TEXT(DATE(YEAR(H254)-(($I254/12)-8),MONTH(H254),DAY(H254)),"dd/mm/yyyy"),", ",Constants!$T$7,TEXT(DATE(YEAR(H254)-(($I254/12)-11),MONTH(H254),DAY(H254)),"dd/mm/yyyy"),", ",Constants!$V$7,TEXT(DATE(YEAR(H254)-(($I254/12)-13),MONTH(H254),DAY(H254)),"dd/mm/yyyy"),", ",Constants!$W$7,TEXT($H254,"dd/mm/yyyy")),IF(($I254/12)=10,_xlfn.CONCAT(Constants!$N$6,TEXT(DATE(YEAR(H254)-(($I254/12)-2),MONTH(H254),DAY(H254)),"dd/mm/yyyy"),", ",Constants!$P$6,TEXT(DATE(YEAR(H254)-(($I254/12)-6),MONTH(H254),DAY(H254)),"dd/mm/yyyy"),", ",Constants!$T$6,TEXT(DATE(YEAR(H254)-(($I254/12)-8),MONTH(H254),DAY(H254)),"dd/mm/yyyy"),", ",Constants!$V$6,TEXT(DATE(YEAR(H254)-(($I254/12)-9),MONTH(H254),DAY(H254)),"dd/mm/yyyy"),", ",Constants!$W$6,TEXT($H254,"dd/mm/yyyy")),IF(($I254/12)=5,_xlfn.CONCAT(Constants!$N$5,TEXT(DATE(YEAR(H254)-(($I254/12)-1),MONTH(H254),DAY(H254)),"dd/mm/yyyy"),", ",Constants!$O$5,TEXT(DATE(YEAR(H254)-(($I254/12)-2),MONTH(H254),DAY(H254)),"dd/mm/yyyy"),", ",Constants!$P$5,TEXT(DATE(YEAR(H254)-(($I254/12)-3),MONTH(H254),DAY(H254)),"dd/mm/yyyy"),", ",Constants!$Q$5,TEXT(DATE(YEAR(H254)-(($I254/12)-4),MONTH(H254),DAY(H254)),"dd/mm/yyyy"),", ",Constants!$R$5,TEXT($H254,"dd/mm/yyyy")),IF(($I254/12)=3,_xlfn.CONCAT(Constants!$N$4,TEXT(DATE(YEAR(H254)-(($I254/12)-1),MONTH(H254),DAY(H254)),"dd/mm/yyyy"),", ",Constants!$O$4,TEXT(DATE(YEAR(H254)-(($I254/12)-2),MONTH(H254),DAY(H254)),"dd/mm/yyyy"),", ",Constants!$P$4,TEXT($H254,"dd/mm/yyyy")),IF(($I254/12)=2,_xlfn.CONCAT(Constants!$N$3,TEXT(DATE(YEAR(H254)-(($I254/12)-1),MONTH(H254),DAY(H254)),"dd/mm/yyyy"),", ",Constants!$O$3,TEXT($H254,"dd/mm/yyyy")),IF(($I254/12)=1,_xlfn.CONCAT(Constants!$N$2,TEXT($H254,"dd/mm/yyyy")),"Update Constants"))))))),"")</f>
        <v/>
      </c>
      <c r="BC254" s="147" t="str">
        <f>_xlfn.IFNA(VALUE(INDEX(Producer!$K:$K,MATCH($D254,Producer!$A:$A,0))),"")</f>
        <v/>
      </c>
      <c r="BD254" s="147" t="str">
        <f>_xlfn.IFNA(INDEX(Producer!$I:$I,MATCH($D254,Producer!$A:$A,0)),"")</f>
        <v/>
      </c>
      <c r="BE254" s="147" t="str">
        <f t="shared" si="92"/>
        <v/>
      </c>
      <c r="BF254" s="147"/>
      <c r="BG254" s="147"/>
      <c r="BH254" s="151" t="str">
        <f>_xlfn.IFNA(INDEX(Constants!$B:$B,MATCH(BC254,Constants!A:A,0)),"")</f>
        <v/>
      </c>
      <c r="BI254" s="147" t="str">
        <f>IF(LEFT(B254,15)="Limited Company",Constants!$D$16,IFERROR(_xlfn.IFNA(IF(C254="Residential",IF(BK254&lt;75,INDEX(Constants!$B:$B,MATCH(VALUE(60)/100,Constants!$A:$A,0)),INDEX(Constants!$B:$B,MATCH(VALUE(BK254)/100,Constants!$A:$A,0))),IF(BK254&lt;60,INDEX(Constants!$C:$C,MATCH(VALUE(60)/100,Constants!$A:$A,0)),INDEX(Constants!$C:$C,MATCH(VALUE(BK254)/100,Constants!$A:$A,0)))),""),""))</f>
        <v/>
      </c>
      <c r="BJ254" s="147" t="str">
        <f t="shared" si="93"/>
        <v/>
      </c>
      <c r="BK254" s="147" t="str">
        <f>_xlfn.IFNA(VALUE(INDEX(Producer!$E:$E,MATCH($D254,Producer!$A:$A,0)))*100,"")</f>
        <v/>
      </c>
      <c r="BL254" s="146" t="str">
        <f>_xlfn.IFNA(IF(IFERROR(FIND("Part &amp; Part",B254),-10)&gt;0,"PP",IF(OR(LEFT(B254,25)="Residential Interest Only",INDEX(Producer!$P:$P,MATCH($D254,Producer!$A:$A,0))="IO",INDEX(Producer!$P:$P,MATCH($D254,Producer!$A:$A,0))="Retirement Interest Only"),"IO",IF($C254="BuyToLet","CI, IO","CI"))),"")</f>
        <v/>
      </c>
      <c r="BM254" s="152" t="str">
        <f>_xlfn.IFNA(IF(BL254="IO",100%,IF(AND(INDEX(Producer!$P:$P,MATCH($D254,Producer!$A:$A,0))="Residential Interest Only Part &amp; Part",BK254=75),80%,IF(C254="BuyToLet",100%,IF(BL254="Interest Only",100%,IF(AND(INDEX(Producer!$P:$P,MATCH($D254,Producer!$A:$A,0))="Residential Interest Only Part &amp; Part",BK254=60),100%,""))))),"")</f>
        <v/>
      </c>
      <c r="BN254" s="218" t="str">
        <f>_xlfn.IFNA(IF(VALUE(INDEX(Producer!$H:$H,MATCH($D254,Producer!$A:$A,0)))=0,"",VALUE(INDEX(Producer!$H:$H,MATCH($D254,Producer!$A:$A,0)))),"")</f>
        <v/>
      </c>
      <c r="BO254" s="153"/>
      <c r="BP254" s="153"/>
      <c r="BQ254" s="219" t="str">
        <f t="shared" si="94"/>
        <v/>
      </c>
      <c r="BR254" s="146"/>
      <c r="BS254" s="146"/>
      <c r="BT254" s="146"/>
      <c r="BU254" s="146"/>
      <c r="BV254" s="219" t="str">
        <f t="shared" si="95"/>
        <v/>
      </c>
      <c r="BW254" s="146"/>
      <c r="BX254" s="146"/>
      <c r="BY254" s="146" t="str">
        <f t="shared" si="96"/>
        <v/>
      </c>
      <c r="BZ254" s="146" t="str">
        <f t="shared" si="97"/>
        <v/>
      </c>
      <c r="CA254" s="146" t="str">
        <f t="shared" si="98"/>
        <v/>
      </c>
      <c r="CB254" s="146" t="str">
        <f t="shared" si="99"/>
        <v/>
      </c>
      <c r="CC254" s="146" t="str">
        <f>_xlfn.IFNA(IF(INDEX(Producer!$P:$P,MATCH($D254,Producer!$A:$A,0))="Help to Buy","Only available","No"),"")</f>
        <v/>
      </c>
      <c r="CD254" s="146" t="str">
        <f>_xlfn.IFNA(IF(INDEX(Producer!$P:$P,MATCH($D254,Producer!$A:$A,0))="Shared Ownership","Only available","No"),"")</f>
        <v/>
      </c>
      <c r="CE254" s="146" t="str">
        <f>_xlfn.IFNA(IF(INDEX(Producer!$P:$P,MATCH($D254,Producer!$A:$A,0))="Right to Buy","Only available","No"),"")</f>
        <v/>
      </c>
      <c r="CF254" s="146" t="str">
        <f t="shared" si="100"/>
        <v/>
      </c>
      <c r="CG254" s="146" t="str">
        <f>_xlfn.IFNA(IF(INDEX(Producer!$P:$P,MATCH($D254,Producer!$A:$A,0))="Retirement Interest Only","Only available","No"),"")</f>
        <v/>
      </c>
      <c r="CH254" s="146" t="str">
        <f t="shared" si="101"/>
        <v/>
      </c>
      <c r="CI254" s="146" t="str">
        <f>_xlfn.IFNA(IF(INDEX(Producer!$P:$P,MATCH($D254,Producer!$A:$A,0))="Intermediary Holiday Let","Only available","No"),"")</f>
        <v/>
      </c>
      <c r="CJ254" s="146" t="str">
        <f t="shared" si="102"/>
        <v/>
      </c>
      <c r="CK254" s="146" t="str">
        <f>_xlfn.IFNA(IF(OR(INDEX(Producer!$P:$P,MATCH($D254,Producer!$A:$A,0))="Intermediary Small HMO",INDEX(Producer!$P:$P,MATCH($D254,Producer!$A:$A,0))="Intermediary Large HMO"),"Only available","No"),"")</f>
        <v/>
      </c>
      <c r="CL254" s="146" t="str">
        <f t="shared" si="103"/>
        <v/>
      </c>
      <c r="CM254" s="146" t="str">
        <f t="shared" si="104"/>
        <v/>
      </c>
      <c r="CN254" s="146" t="str">
        <f t="shared" si="105"/>
        <v/>
      </c>
      <c r="CO254" s="146" t="str">
        <f t="shared" si="106"/>
        <v/>
      </c>
      <c r="CP254" s="146" t="str">
        <f t="shared" si="107"/>
        <v/>
      </c>
      <c r="CQ254" s="146" t="str">
        <f t="shared" si="108"/>
        <v/>
      </c>
      <c r="CR254" s="146" t="str">
        <f t="shared" si="109"/>
        <v/>
      </c>
      <c r="CS254" s="146" t="str">
        <f t="shared" si="110"/>
        <v/>
      </c>
      <c r="CT254" s="146" t="str">
        <f t="shared" si="111"/>
        <v/>
      </c>
      <c r="CU254" s="146"/>
    </row>
    <row r="255" spans="1:99" ht="16.399999999999999" customHeight="1" x14ac:dyDescent="0.35">
      <c r="A255" s="145" t="str">
        <f t="shared" si="84"/>
        <v/>
      </c>
      <c r="B255" s="145" t="str">
        <f>_xlfn.IFNA(_xlfn.CONCAT(INDEX(Producer!$P:$P,MATCH($D255,Producer!$A:$A,0))," ",IF(INDEX(Producer!$N:$N,MATCH($D255,Producer!$A:$A,0))="Yes","Green ",""),IF(AND(INDEX(Producer!$L:$L,MATCH($D255,Producer!$A:$A,0))="No",INDEX(Producer!$C:$C,MATCH($D255,Producer!$A:$A,0))="Fixed"),"Flexit ",""),INDEX(Producer!$B:$B,MATCH($D255,Producer!$A:$A,0))," Year ",INDEX(Producer!$C:$C,MATCH($D255,Producer!$A:$A,0))," ",VALUE(INDEX(Producer!$E:$E,MATCH($D255,Producer!$A:$A,0)))*100,"% LTV",IF(INDEX(Producer!$N:$N,MATCH($D255,Producer!$A:$A,0))="Yes"," (EPC A-C)","")," - ",IF(INDEX(Producer!$D:$D,MATCH($D255,Producer!$A:$A,0))="DLY","Daily","Annual")),"")</f>
        <v/>
      </c>
      <c r="C255" s="146" t="str">
        <f>_xlfn.IFNA(INDEX(Producer!$Q:$Q,MATCH($D255,Producer!$A:$A,0)),"")</f>
        <v/>
      </c>
      <c r="D255" s="146" t="str">
        <f>IFERROR(VALUE(MID(Producer!$R$2,IF($D254="",1/0,FIND(_xlfn.CONCAT($D253,$D254),Producer!$R$2)+10),5)),"")</f>
        <v/>
      </c>
      <c r="E255" s="146" t="str">
        <f t="shared" si="85"/>
        <v/>
      </c>
      <c r="F255" s="146"/>
      <c r="G255" s="147" t="str">
        <f>_xlfn.IFNA(VALUE(INDEX(Producer!$F:$F,MATCH($D255,Producer!$A:$A,0)))*100,"")</f>
        <v/>
      </c>
      <c r="H255" s="216" t="str">
        <f>_xlfn.IFNA(IFERROR(DATEVALUE(INDEX(Producer!$M:$M,MATCH($D255,Producer!$A:$A,0))),(INDEX(Producer!$M:$M,MATCH($D255,Producer!$A:$A,0)))),"")</f>
        <v/>
      </c>
      <c r="I255" s="217" t="str">
        <f>_xlfn.IFNA(VALUE(INDEX(Producer!$B:$B,MATCH($D255,Producer!$A:$A,0)))*12,"")</f>
        <v/>
      </c>
      <c r="J255" s="146" t="str">
        <f>_xlfn.IFNA(IF(C255="Residential",IF(VALUE(INDEX(Producer!$B:$B,MATCH($D255,Producer!$A:$A,0)))&lt;5,Constants!$C$10,""),IF(VALUE(INDEX(Producer!$B:$B,MATCH($D255,Producer!$A:$A,0)))&lt;5,Constants!$C$11,"")),"")</f>
        <v/>
      </c>
      <c r="K255" s="216" t="str">
        <f>_xlfn.IFNA(IF(($I255)&lt;60,DATE(YEAR(H255)+(5-VALUE(INDEX(Producer!$B:$B,MATCH($D255,Producer!$A:$A,0)))),MONTH(H255),DAY(H255)),""),"")</f>
        <v/>
      </c>
      <c r="L255" s="153" t="str">
        <f t="shared" si="86"/>
        <v/>
      </c>
      <c r="M255" s="146"/>
      <c r="N255" s="148"/>
      <c r="O255" s="148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  <c r="AA255" s="146"/>
      <c r="AB255" s="146"/>
      <c r="AC255" s="146"/>
      <c r="AD255" s="146"/>
      <c r="AE255" s="146"/>
      <c r="AF255" s="146"/>
      <c r="AG255" s="146"/>
      <c r="AH255" s="146"/>
      <c r="AI255" s="146"/>
      <c r="AJ255" s="146"/>
      <c r="AK255" s="146" t="str">
        <f>IF(D255="","",IF(C255="Residential",Constants!$B$10,Constants!$B$11))</f>
        <v/>
      </c>
      <c r="AL255" s="146" t="str">
        <f t="shared" si="87"/>
        <v/>
      </c>
      <c r="AM255" s="206" t="str">
        <f t="shared" si="88"/>
        <v/>
      </c>
      <c r="AN255" s="146" t="str">
        <f t="shared" si="89"/>
        <v/>
      </c>
      <c r="AO255" s="149" t="str">
        <f t="shared" si="90"/>
        <v/>
      </c>
      <c r="AP255" s="150" t="str">
        <f t="shared" si="91"/>
        <v/>
      </c>
      <c r="AQ255" s="146" t="str">
        <f>IFERROR(_xlfn.IFNA(IF($BA255="No",0,IF(INDEX(Constants!B:B,MATCH(($I255/12),Constants!$A:$A,0))=0,0,INDEX(Constants!B:B,MATCH(($I255/12),Constants!$A:$A,0)))),0),"")</f>
        <v/>
      </c>
      <c r="AR255" s="146" t="str">
        <f>IFERROR(_xlfn.IFNA(IF($BA255="No",0,IF(INDEX(Constants!C:C,MATCH(($I255/12),Constants!$A:$A,0))=0,0,INDEX(Constants!C:C,MATCH(($I255/12),Constants!$A:$A,0)))),0),"")</f>
        <v/>
      </c>
      <c r="AS255" s="146" t="str">
        <f>IFERROR(_xlfn.IFNA(IF($BA255="No",0,IF(INDEX(Constants!D:D,MATCH(($I255/12),Constants!$A:$A,0))=0,0,INDEX(Constants!D:D,MATCH(($I255/12),Constants!$A:$A,0)))),0),"")</f>
        <v/>
      </c>
      <c r="AT255" s="146" t="str">
        <f>IFERROR(_xlfn.IFNA(IF($BA255="No",0,IF(INDEX(Constants!E:E,MATCH(($I255/12),Constants!$A:$A,0))=0,0,INDEX(Constants!E:E,MATCH(($I255/12),Constants!$A:$A,0)))),0),"")</f>
        <v/>
      </c>
      <c r="AU255" s="146" t="str">
        <f>IFERROR(_xlfn.IFNA(IF($BA255="No",0,IF(INDEX(Constants!F:F,MATCH(($I255/12),Constants!$A:$A,0))=0,0,INDEX(Constants!F:F,MATCH(($I255/12),Constants!$A:$A,0)))),0),"")</f>
        <v/>
      </c>
      <c r="AV255" s="146" t="str">
        <f>IFERROR(_xlfn.IFNA(IF($BA255="No",0,IF(INDEX(Constants!G:G,MATCH(($I255/12),Constants!$A:$A,0))=0,0,INDEX(Constants!G:G,MATCH(($I255/12),Constants!$A:$A,0)))),0),"")</f>
        <v/>
      </c>
      <c r="AW255" s="146" t="str">
        <f>IFERROR(_xlfn.IFNA(IF($BA255="No",0,IF(INDEX(Constants!H:H,MATCH(($I255/12),Constants!$A:$A,0))=0,0,INDEX(Constants!H:H,MATCH(($I255/12),Constants!$A:$A,0)))),0),"")</f>
        <v/>
      </c>
      <c r="AX255" s="146" t="str">
        <f>IFERROR(_xlfn.IFNA(IF($BA255="No",0,IF(INDEX(Constants!I:I,MATCH(($I255/12),Constants!$A:$A,0))=0,0,INDEX(Constants!I:I,MATCH(($I255/12),Constants!$A:$A,0)))),0),"")</f>
        <v/>
      </c>
      <c r="AY255" s="146" t="str">
        <f>IFERROR(_xlfn.IFNA(IF($BA255="No",0,IF(INDEX(Constants!J:J,MATCH(($I255/12),Constants!$A:$A,0))=0,0,INDEX(Constants!J:J,MATCH(($I255/12),Constants!$A:$A,0)))),0),"")</f>
        <v/>
      </c>
      <c r="AZ255" s="146" t="str">
        <f>IFERROR(_xlfn.IFNA(IF($BA255="No",0,IF(INDEX(Constants!K:K,MATCH(($I255/12),Constants!$A:$A,0))=0,0,INDEX(Constants!K:K,MATCH(($I255/12),Constants!$A:$A,0)))),0),"")</f>
        <v/>
      </c>
      <c r="BA255" s="147" t="str">
        <f>_xlfn.IFNA(INDEX(Producer!$L:$L,MATCH($D255,Producer!$A:$A,0)),"")</f>
        <v/>
      </c>
      <c r="BB255" s="146" t="str">
        <f>IFERROR(IF(AQ255=0,"",IF(($I255/12)=15,_xlfn.CONCAT(Constants!$N$7,TEXT(DATE(YEAR(H255)-(($I255/12)-3),MONTH(H255),DAY(H255)),"dd/mm/yyyy"),", ",Constants!$P$7,TEXT(DATE(YEAR(H255)-(($I255/12)-8),MONTH(H255),DAY(H255)),"dd/mm/yyyy"),", ",Constants!$T$7,TEXT(DATE(YEAR(H255)-(($I255/12)-11),MONTH(H255),DAY(H255)),"dd/mm/yyyy"),", ",Constants!$V$7,TEXT(DATE(YEAR(H255)-(($I255/12)-13),MONTH(H255),DAY(H255)),"dd/mm/yyyy"),", ",Constants!$W$7,TEXT($H255,"dd/mm/yyyy")),IF(($I255/12)=10,_xlfn.CONCAT(Constants!$N$6,TEXT(DATE(YEAR(H255)-(($I255/12)-2),MONTH(H255),DAY(H255)),"dd/mm/yyyy"),", ",Constants!$P$6,TEXT(DATE(YEAR(H255)-(($I255/12)-6),MONTH(H255),DAY(H255)),"dd/mm/yyyy"),", ",Constants!$T$6,TEXT(DATE(YEAR(H255)-(($I255/12)-8),MONTH(H255),DAY(H255)),"dd/mm/yyyy"),", ",Constants!$V$6,TEXT(DATE(YEAR(H255)-(($I255/12)-9),MONTH(H255),DAY(H255)),"dd/mm/yyyy"),", ",Constants!$W$6,TEXT($H255,"dd/mm/yyyy")),IF(($I255/12)=5,_xlfn.CONCAT(Constants!$N$5,TEXT(DATE(YEAR(H255)-(($I255/12)-1),MONTH(H255),DAY(H255)),"dd/mm/yyyy"),", ",Constants!$O$5,TEXT(DATE(YEAR(H255)-(($I255/12)-2),MONTH(H255),DAY(H255)),"dd/mm/yyyy"),", ",Constants!$P$5,TEXT(DATE(YEAR(H255)-(($I255/12)-3),MONTH(H255),DAY(H255)),"dd/mm/yyyy"),", ",Constants!$Q$5,TEXT(DATE(YEAR(H255)-(($I255/12)-4),MONTH(H255),DAY(H255)),"dd/mm/yyyy"),", ",Constants!$R$5,TEXT($H255,"dd/mm/yyyy")),IF(($I255/12)=3,_xlfn.CONCAT(Constants!$N$4,TEXT(DATE(YEAR(H255)-(($I255/12)-1),MONTH(H255),DAY(H255)),"dd/mm/yyyy"),", ",Constants!$O$4,TEXT(DATE(YEAR(H255)-(($I255/12)-2),MONTH(H255),DAY(H255)),"dd/mm/yyyy"),", ",Constants!$P$4,TEXT($H255,"dd/mm/yyyy")),IF(($I255/12)=2,_xlfn.CONCAT(Constants!$N$3,TEXT(DATE(YEAR(H255)-(($I255/12)-1),MONTH(H255),DAY(H255)),"dd/mm/yyyy"),", ",Constants!$O$3,TEXT($H255,"dd/mm/yyyy")),IF(($I255/12)=1,_xlfn.CONCAT(Constants!$N$2,TEXT($H255,"dd/mm/yyyy")),"Update Constants"))))))),"")</f>
        <v/>
      </c>
      <c r="BC255" s="147" t="str">
        <f>_xlfn.IFNA(VALUE(INDEX(Producer!$K:$K,MATCH($D255,Producer!$A:$A,0))),"")</f>
        <v/>
      </c>
      <c r="BD255" s="147" t="str">
        <f>_xlfn.IFNA(INDEX(Producer!$I:$I,MATCH($D255,Producer!$A:$A,0)),"")</f>
        <v/>
      </c>
      <c r="BE255" s="147" t="str">
        <f t="shared" si="92"/>
        <v/>
      </c>
      <c r="BF255" s="147"/>
      <c r="BG255" s="147"/>
      <c r="BH255" s="151" t="str">
        <f>_xlfn.IFNA(INDEX(Constants!$B:$B,MATCH(BC255,Constants!A:A,0)),"")</f>
        <v/>
      </c>
      <c r="BI255" s="147" t="str">
        <f>IF(LEFT(B255,15)="Limited Company",Constants!$D$16,IFERROR(_xlfn.IFNA(IF(C255="Residential",IF(BK255&lt;75,INDEX(Constants!$B:$B,MATCH(VALUE(60)/100,Constants!$A:$A,0)),INDEX(Constants!$B:$B,MATCH(VALUE(BK255)/100,Constants!$A:$A,0))),IF(BK255&lt;60,INDEX(Constants!$C:$C,MATCH(VALUE(60)/100,Constants!$A:$A,0)),INDEX(Constants!$C:$C,MATCH(VALUE(BK255)/100,Constants!$A:$A,0)))),""),""))</f>
        <v/>
      </c>
      <c r="BJ255" s="147" t="str">
        <f t="shared" si="93"/>
        <v/>
      </c>
      <c r="BK255" s="147" t="str">
        <f>_xlfn.IFNA(VALUE(INDEX(Producer!$E:$E,MATCH($D255,Producer!$A:$A,0)))*100,"")</f>
        <v/>
      </c>
      <c r="BL255" s="146" t="str">
        <f>_xlfn.IFNA(IF(IFERROR(FIND("Part &amp; Part",B255),-10)&gt;0,"PP",IF(OR(LEFT(B255,25)="Residential Interest Only",INDEX(Producer!$P:$P,MATCH($D255,Producer!$A:$A,0))="IO",INDEX(Producer!$P:$P,MATCH($D255,Producer!$A:$A,0))="Retirement Interest Only"),"IO",IF($C255="BuyToLet","CI, IO","CI"))),"")</f>
        <v/>
      </c>
      <c r="BM255" s="152" t="str">
        <f>_xlfn.IFNA(IF(BL255="IO",100%,IF(AND(INDEX(Producer!$P:$P,MATCH($D255,Producer!$A:$A,0))="Residential Interest Only Part &amp; Part",BK255=75),80%,IF(C255="BuyToLet",100%,IF(BL255="Interest Only",100%,IF(AND(INDEX(Producer!$P:$P,MATCH($D255,Producer!$A:$A,0))="Residential Interest Only Part &amp; Part",BK255=60),100%,""))))),"")</f>
        <v/>
      </c>
      <c r="BN255" s="218" t="str">
        <f>_xlfn.IFNA(IF(VALUE(INDEX(Producer!$H:$H,MATCH($D255,Producer!$A:$A,0)))=0,"",VALUE(INDEX(Producer!$H:$H,MATCH($D255,Producer!$A:$A,0)))),"")</f>
        <v/>
      </c>
      <c r="BO255" s="153"/>
      <c r="BP255" s="153"/>
      <c r="BQ255" s="219" t="str">
        <f t="shared" si="94"/>
        <v/>
      </c>
      <c r="BR255" s="146"/>
      <c r="BS255" s="146"/>
      <c r="BT255" s="146"/>
      <c r="BU255" s="146"/>
      <c r="BV255" s="219" t="str">
        <f t="shared" si="95"/>
        <v/>
      </c>
      <c r="BW255" s="146"/>
      <c r="BX255" s="146"/>
      <c r="BY255" s="146" t="str">
        <f t="shared" si="96"/>
        <v/>
      </c>
      <c r="BZ255" s="146" t="str">
        <f t="shared" si="97"/>
        <v/>
      </c>
      <c r="CA255" s="146" t="str">
        <f t="shared" si="98"/>
        <v/>
      </c>
      <c r="CB255" s="146" t="str">
        <f t="shared" si="99"/>
        <v/>
      </c>
      <c r="CC255" s="146" t="str">
        <f>_xlfn.IFNA(IF(INDEX(Producer!$P:$P,MATCH($D255,Producer!$A:$A,0))="Help to Buy","Only available","No"),"")</f>
        <v/>
      </c>
      <c r="CD255" s="146" t="str">
        <f>_xlfn.IFNA(IF(INDEX(Producer!$P:$P,MATCH($D255,Producer!$A:$A,0))="Shared Ownership","Only available","No"),"")</f>
        <v/>
      </c>
      <c r="CE255" s="146" t="str">
        <f>_xlfn.IFNA(IF(INDEX(Producer!$P:$P,MATCH($D255,Producer!$A:$A,0))="Right to Buy","Only available","No"),"")</f>
        <v/>
      </c>
      <c r="CF255" s="146" t="str">
        <f t="shared" si="100"/>
        <v/>
      </c>
      <c r="CG255" s="146" t="str">
        <f>_xlfn.IFNA(IF(INDEX(Producer!$P:$P,MATCH($D255,Producer!$A:$A,0))="Retirement Interest Only","Only available","No"),"")</f>
        <v/>
      </c>
      <c r="CH255" s="146" t="str">
        <f t="shared" si="101"/>
        <v/>
      </c>
      <c r="CI255" s="146" t="str">
        <f>_xlfn.IFNA(IF(INDEX(Producer!$P:$P,MATCH($D255,Producer!$A:$A,0))="Intermediary Holiday Let","Only available","No"),"")</f>
        <v/>
      </c>
      <c r="CJ255" s="146" t="str">
        <f t="shared" si="102"/>
        <v/>
      </c>
      <c r="CK255" s="146" t="str">
        <f>_xlfn.IFNA(IF(OR(INDEX(Producer!$P:$P,MATCH($D255,Producer!$A:$A,0))="Intermediary Small HMO",INDEX(Producer!$P:$P,MATCH($D255,Producer!$A:$A,0))="Intermediary Large HMO"),"Only available","No"),"")</f>
        <v/>
      </c>
      <c r="CL255" s="146" t="str">
        <f t="shared" si="103"/>
        <v/>
      </c>
      <c r="CM255" s="146" t="str">
        <f t="shared" si="104"/>
        <v/>
      </c>
      <c r="CN255" s="146" t="str">
        <f t="shared" si="105"/>
        <v/>
      </c>
      <c r="CO255" s="146" t="str">
        <f t="shared" si="106"/>
        <v/>
      </c>
      <c r="CP255" s="146" t="str">
        <f t="shared" si="107"/>
        <v/>
      </c>
      <c r="CQ255" s="146" t="str">
        <f t="shared" si="108"/>
        <v/>
      </c>
      <c r="CR255" s="146" t="str">
        <f t="shared" si="109"/>
        <v/>
      </c>
      <c r="CS255" s="146" t="str">
        <f t="shared" si="110"/>
        <v/>
      </c>
      <c r="CT255" s="146" t="str">
        <f t="shared" si="111"/>
        <v/>
      </c>
      <c r="CU255" s="146"/>
    </row>
    <row r="256" spans="1:99" ht="16.399999999999999" customHeight="1" x14ac:dyDescent="0.35">
      <c r="A256" s="145" t="str">
        <f t="shared" si="84"/>
        <v/>
      </c>
      <c r="B256" s="145" t="str">
        <f>_xlfn.IFNA(_xlfn.CONCAT(INDEX(Producer!$P:$P,MATCH($D256,Producer!$A:$A,0))," ",IF(INDEX(Producer!$N:$N,MATCH($D256,Producer!$A:$A,0))="Yes","Green ",""),IF(AND(INDEX(Producer!$L:$L,MATCH($D256,Producer!$A:$A,0))="No",INDEX(Producer!$C:$C,MATCH($D256,Producer!$A:$A,0))="Fixed"),"Flexit ",""),INDEX(Producer!$B:$B,MATCH($D256,Producer!$A:$A,0))," Year ",INDEX(Producer!$C:$C,MATCH($D256,Producer!$A:$A,0))," ",VALUE(INDEX(Producer!$E:$E,MATCH($D256,Producer!$A:$A,0)))*100,"% LTV",IF(INDEX(Producer!$N:$N,MATCH($D256,Producer!$A:$A,0))="Yes"," (EPC A-C)","")," - ",IF(INDEX(Producer!$D:$D,MATCH($D256,Producer!$A:$A,0))="DLY","Daily","Annual")),"")</f>
        <v/>
      </c>
      <c r="C256" s="146" t="str">
        <f>_xlfn.IFNA(INDEX(Producer!$Q:$Q,MATCH($D256,Producer!$A:$A,0)),"")</f>
        <v/>
      </c>
      <c r="D256" s="146" t="str">
        <f>IFERROR(VALUE(MID(Producer!$R$2,IF($D255="",1/0,FIND(_xlfn.CONCAT($D254,$D255),Producer!$R$2)+10),5)),"")</f>
        <v/>
      </c>
      <c r="E256" s="146" t="str">
        <f t="shared" si="85"/>
        <v/>
      </c>
      <c r="F256" s="146"/>
      <c r="G256" s="147" t="str">
        <f>_xlfn.IFNA(VALUE(INDEX(Producer!$F:$F,MATCH($D256,Producer!$A:$A,0)))*100,"")</f>
        <v/>
      </c>
      <c r="H256" s="216" t="str">
        <f>_xlfn.IFNA(IFERROR(DATEVALUE(INDEX(Producer!$M:$M,MATCH($D256,Producer!$A:$A,0))),(INDEX(Producer!$M:$M,MATCH($D256,Producer!$A:$A,0)))),"")</f>
        <v/>
      </c>
      <c r="I256" s="217" t="str">
        <f>_xlfn.IFNA(VALUE(INDEX(Producer!$B:$B,MATCH($D256,Producer!$A:$A,0)))*12,"")</f>
        <v/>
      </c>
      <c r="J256" s="146" t="str">
        <f>_xlfn.IFNA(IF(C256="Residential",IF(VALUE(INDEX(Producer!$B:$B,MATCH($D256,Producer!$A:$A,0)))&lt;5,Constants!$C$10,""),IF(VALUE(INDEX(Producer!$B:$B,MATCH($D256,Producer!$A:$A,0)))&lt;5,Constants!$C$11,"")),"")</f>
        <v/>
      </c>
      <c r="K256" s="216" t="str">
        <f>_xlfn.IFNA(IF(($I256)&lt;60,DATE(YEAR(H256)+(5-VALUE(INDEX(Producer!$B:$B,MATCH($D256,Producer!$A:$A,0)))),MONTH(H256),DAY(H256)),""),"")</f>
        <v/>
      </c>
      <c r="L256" s="153" t="str">
        <f t="shared" si="86"/>
        <v/>
      </c>
      <c r="M256" s="146"/>
      <c r="N256" s="148"/>
      <c r="O256" s="148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 t="str">
        <f>IF(D256="","",IF(C256="Residential",Constants!$B$10,Constants!$B$11))</f>
        <v/>
      </c>
      <c r="AL256" s="146" t="str">
        <f t="shared" si="87"/>
        <v/>
      </c>
      <c r="AM256" s="206" t="str">
        <f t="shared" si="88"/>
        <v/>
      </c>
      <c r="AN256" s="146" t="str">
        <f t="shared" si="89"/>
        <v/>
      </c>
      <c r="AO256" s="149" t="str">
        <f t="shared" si="90"/>
        <v/>
      </c>
      <c r="AP256" s="150" t="str">
        <f t="shared" si="91"/>
        <v/>
      </c>
      <c r="AQ256" s="146" t="str">
        <f>IFERROR(_xlfn.IFNA(IF($BA256="No",0,IF(INDEX(Constants!B:B,MATCH(($I256/12),Constants!$A:$A,0))=0,0,INDEX(Constants!B:B,MATCH(($I256/12),Constants!$A:$A,0)))),0),"")</f>
        <v/>
      </c>
      <c r="AR256" s="146" t="str">
        <f>IFERROR(_xlfn.IFNA(IF($BA256="No",0,IF(INDEX(Constants!C:C,MATCH(($I256/12),Constants!$A:$A,0))=0,0,INDEX(Constants!C:C,MATCH(($I256/12),Constants!$A:$A,0)))),0),"")</f>
        <v/>
      </c>
      <c r="AS256" s="146" t="str">
        <f>IFERROR(_xlfn.IFNA(IF($BA256="No",0,IF(INDEX(Constants!D:D,MATCH(($I256/12),Constants!$A:$A,0))=0,0,INDEX(Constants!D:D,MATCH(($I256/12),Constants!$A:$A,0)))),0),"")</f>
        <v/>
      </c>
      <c r="AT256" s="146" t="str">
        <f>IFERROR(_xlfn.IFNA(IF($BA256="No",0,IF(INDEX(Constants!E:E,MATCH(($I256/12),Constants!$A:$A,0))=0,0,INDEX(Constants!E:E,MATCH(($I256/12),Constants!$A:$A,0)))),0),"")</f>
        <v/>
      </c>
      <c r="AU256" s="146" t="str">
        <f>IFERROR(_xlfn.IFNA(IF($BA256="No",0,IF(INDEX(Constants!F:F,MATCH(($I256/12),Constants!$A:$A,0))=0,0,INDEX(Constants!F:F,MATCH(($I256/12),Constants!$A:$A,0)))),0),"")</f>
        <v/>
      </c>
      <c r="AV256" s="146" t="str">
        <f>IFERROR(_xlfn.IFNA(IF($BA256="No",0,IF(INDEX(Constants!G:G,MATCH(($I256/12),Constants!$A:$A,0))=0,0,INDEX(Constants!G:G,MATCH(($I256/12),Constants!$A:$A,0)))),0),"")</f>
        <v/>
      </c>
      <c r="AW256" s="146" t="str">
        <f>IFERROR(_xlfn.IFNA(IF($BA256="No",0,IF(INDEX(Constants!H:H,MATCH(($I256/12),Constants!$A:$A,0))=0,0,INDEX(Constants!H:H,MATCH(($I256/12),Constants!$A:$A,0)))),0),"")</f>
        <v/>
      </c>
      <c r="AX256" s="146" t="str">
        <f>IFERROR(_xlfn.IFNA(IF($BA256="No",0,IF(INDEX(Constants!I:I,MATCH(($I256/12),Constants!$A:$A,0))=0,0,INDEX(Constants!I:I,MATCH(($I256/12),Constants!$A:$A,0)))),0),"")</f>
        <v/>
      </c>
      <c r="AY256" s="146" t="str">
        <f>IFERROR(_xlfn.IFNA(IF($BA256="No",0,IF(INDEX(Constants!J:J,MATCH(($I256/12),Constants!$A:$A,0))=0,0,INDEX(Constants!J:J,MATCH(($I256/12),Constants!$A:$A,0)))),0),"")</f>
        <v/>
      </c>
      <c r="AZ256" s="146" t="str">
        <f>IFERROR(_xlfn.IFNA(IF($BA256="No",0,IF(INDEX(Constants!K:K,MATCH(($I256/12),Constants!$A:$A,0))=0,0,INDEX(Constants!K:K,MATCH(($I256/12),Constants!$A:$A,0)))),0),"")</f>
        <v/>
      </c>
      <c r="BA256" s="147" t="str">
        <f>_xlfn.IFNA(INDEX(Producer!$L:$L,MATCH($D256,Producer!$A:$A,0)),"")</f>
        <v/>
      </c>
      <c r="BB256" s="146" t="str">
        <f>IFERROR(IF(AQ256=0,"",IF(($I256/12)=15,_xlfn.CONCAT(Constants!$N$7,TEXT(DATE(YEAR(H256)-(($I256/12)-3),MONTH(H256),DAY(H256)),"dd/mm/yyyy"),", ",Constants!$P$7,TEXT(DATE(YEAR(H256)-(($I256/12)-8),MONTH(H256),DAY(H256)),"dd/mm/yyyy"),", ",Constants!$T$7,TEXT(DATE(YEAR(H256)-(($I256/12)-11),MONTH(H256),DAY(H256)),"dd/mm/yyyy"),", ",Constants!$V$7,TEXT(DATE(YEAR(H256)-(($I256/12)-13),MONTH(H256),DAY(H256)),"dd/mm/yyyy"),", ",Constants!$W$7,TEXT($H256,"dd/mm/yyyy")),IF(($I256/12)=10,_xlfn.CONCAT(Constants!$N$6,TEXT(DATE(YEAR(H256)-(($I256/12)-2),MONTH(H256),DAY(H256)),"dd/mm/yyyy"),", ",Constants!$P$6,TEXT(DATE(YEAR(H256)-(($I256/12)-6),MONTH(H256),DAY(H256)),"dd/mm/yyyy"),", ",Constants!$T$6,TEXT(DATE(YEAR(H256)-(($I256/12)-8),MONTH(H256),DAY(H256)),"dd/mm/yyyy"),", ",Constants!$V$6,TEXT(DATE(YEAR(H256)-(($I256/12)-9),MONTH(H256),DAY(H256)),"dd/mm/yyyy"),", ",Constants!$W$6,TEXT($H256,"dd/mm/yyyy")),IF(($I256/12)=5,_xlfn.CONCAT(Constants!$N$5,TEXT(DATE(YEAR(H256)-(($I256/12)-1),MONTH(H256),DAY(H256)),"dd/mm/yyyy"),", ",Constants!$O$5,TEXT(DATE(YEAR(H256)-(($I256/12)-2),MONTH(H256),DAY(H256)),"dd/mm/yyyy"),", ",Constants!$P$5,TEXT(DATE(YEAR(H256)-(($I256/12)-3),MONTH(H256),DAY(H256)),"dd/mm/yyyy"),", ",Constants!$Q$5,TEXT(DATE(YEAR(H256)-(($I256/12)-4),MONTH(H256),DAY(H256)),"dd/mm/yyyy"),", ",Constants!$R$5,TEXT($H256,"dd/mm/yyyy")),IF(($I256/12)=3,_xlfn.CONCAT(Constants!$N$4,TEXT(DATE(YEAR(H256)-(($I256/12)-1),MONTH(H256),DAY(H256)),"dd/mm/yyyy"),", ",Constants!$O$4,TEXT(DATE(YEAR(H256)-(($I256/12)-2),MONTH(H256),DAY(H256)),"dd/mm/yyyy"),", ",Constants!$P$4,TEXT($H256,"dd/mm/yyyy")),IF(($I256/12)=2,_xlfn.CONCAT(Constants!$N$3,TEXT(DATE(YEAR(H256)-(($I256/12)-1),MONTH(H256),DAY(H256)),"dd/mm/yyyy"),", ",Constants!$O$3,TEXT($H256,"dd/mm/yyyy")),IF(($I256/12)=1,_xlfn.CONCAT(Constants!$N$2,TEXT($H256,"dd/mm/yyyy")),"Update Constants"))))))),"")</f>
        <v/>
      </c>
      <c r="BC256" s="147" t="str">
        <f>_xlfn.IFNA(VALUE(INDEX(Producer!$K:$K,MATCH($D256,Producer!$A:$A,0))),"")</f>
        <v/>
      </c>
      <c r="BD256" s="147" t="str">
        <f>_xlfn.IFNA(INDEX(Producer!$I:$I,MATCH($D256,Producer!$A:$A,0)),"")</f>
        <v/>
      </c>
      <c r="BE256" s="147" t="str">
        <f t="shared" si="92"/>
        <v/>
      </c>
      <c r="BF256" s="147"/>
      <c r="BG256" s="147"/>
      <c r="BH256" s="151" t="str">
        <f>_xlfn.IFNA(INDEX(Constants!$B:$B,MATCH(BC256,Constants!A:A,0)),"")</f>
        <v/>
      </c>
      <c r="BI256" s="147" t="str">
        <f>IF(LEFT(B256,15)="Limited Company",Constants!$D$16,IFERROR(_xlfn.IFNA(IF(C256="Residential",IF(BK256&lt;75,INDEX(Constants!$B:$B,MATCH(VALUE(60)/100,Constants!$A:$A,0)),INDEX(Constants!$B:$B,MATCH(VALUE(BK256)/100,Constants!$A:$A,0))),IF(BK256&lt;60,INDEX(Constants!$C:$C,MATCH(VALUE(60)/100,Constants!$A:$A,0)),INDEX(Constants!$C:$C,MATCH(VALUE(BK256)/100,Constants!$A:$A,0)))),""),""))</f>
        <v/>
      </c>
      <c r="BJ256" s="147" t="str">
        <f t="shared" si="93"/>
        <v/>
      </c>
      <c r="BK256" s="147" t="str">
        <f>_xlfn.IFNA(VALUE(INDEX(Producer!$E:$E,MATCH($D256,Producer!$A:$A,0)))*100,"")</f>
        <v/>
      </c>
      <c r="BL256" s="146" t="str">
        <f>_xlfn.IFNA(IF(IFERROR(FIND("Part &amp; Part",B256),-10)&gt;0,"PP",IF(OR(LEFT(B256,25)="Residential Interest Only",INDEX(Producer!$P:$P,MATCH($D256,Producer!$A:$A,0))="IO",INDEX(Producer!$P:$P,MATCH($D256,Producer!$A:$A,0))="Retirement Interest Only"),"IO",IF($C256="BuyToLet","CI, IO","CI"))),"")</f>
        <v/>
      </c>
      <c r="BM256" s="152" t="str">
        <f>_xlfn.IFNA(IF(BL256="IO",100%,IF(AND(INDEX(Producer!$P:$P,MATCH($D256,Producer!$A:$A,0))="Residential Interest Only Part &amp; Part",BK256=75),80%,IF(C256="BuyToLet",100%,IF(BL256="Interest Only",100%,IF(AND(INDEX(Producer!$P:$P,MATCH($D256,Producer!$A:$A,0))="Residential Interest Only Part &amp; Part",BK256=60),100%,""))))),"")</f>
        <v/>
      </c>
      <c r="BN256" s="218" t="str">
        <f>_xlfn.IFNA(IF(VALUE(INDEX(Producer!$H:$H,MATCH($D256,Producer!$A:$A,0)))=0,"",VALUE(INDEX(Producer!$H:$H,MATCH($D256,Producer!$A:$A,0)))),"")</f>
        <v/>
      </c>
      <c r="BO256" s="153"/>
      <c r="BP256" s="153"/>
      <c r="BQ256" s="219" t="str">
        <f t="shared" si="94"/>
        <v/>
      </c>
      <c r="BR256" s="146"/>
      <c r="BS256" s="146"/>
      <c r="BT256" s="146"/>
      <c r="BU256" s="146"/>
      <c r="BV256" s="219" t="str">
        <f t="shared" si="95"/>
        <v/>
      </c>
      <c r="BW256" s="146"/>
      <c r="BX256" s="146"/>
      <c r="BY256" s="146" t="str">
        <f t="shared" si="96"/>
        <v/>
      </c>
      <c r="BZ256" s="146" t="str">
        <f t="shared" si="97"/>
        <v/>
      </c>
      <c r="CA256" s="146" t="str">
        <f t="shared" si="98"/>
        <v/>
      </c>
      <c r="CB256" s="146" t="str">
        <f t="shared" si="99"/>
        <v/>
      </c>
      <c r="CC256" s="146" t="str">
        <f>_xlfn.IFNA(IF(INDEX(Producer!$P:$P,MATCH($D256,Producer!$A:$A,0))="Help to Buy","Only available","No"),"")</f>
        <v/>
      </c>
      <c r="CD256" s="146" t="str">
        <f>_xlfn.IFNA(IF(INDEX(Producer!$P:$P,MATCH($D256,Producer!$A:$A,0))="Shared Ownership","Only available","No"),"")</f>
        <v/>
      </c>
      <c r="CE256" s="146" t="str">
        <f>_xlfn.IFNA(IF(INDEX(Producer!$P:$P,MATCH($D256,Producer!$A:$A,0))="Right to Buy","Only available","No"),"")</f>
        <v/>
      </c>
      <c r="CF256" s="146" t="str">
        <f t="shared" si="100"/>
        <v/>
      </c>
      <c r="CG256" s="146" t="str">
        <f>_xlfn.IFNA(IF(INDEX(Producer!$P:$P,MATCH($D256,Producer!$A:$A,0))="Retirement Interest Only","Only available","No"),"")</f>
        <v/>
      </c>
      <c r="CH256" s="146" t="str">
        <f t="shared" si="101"/>
        <v/>
      </c>
      <c r="CI256" s="146" t="str">
        <f>_xlfn.IFNA(IF(INDEX(Producer!$P:$P,MATCH($D256,Producer!$A:$A,0))="Intermediary Holiday Let","Only available","No"),"")</f>
        <v/>
      </c>
      <c r="CJ256" s="146" t="str">
        <f t="shared" si="102"/>
        <v/>
      </c>
      <c r="CK256" s="146" t="str">
        <f>_xlfn.IFNA(IF(OR(INDEX(Producer!$P:$P,MATCH($D256,Producer!$A:$A,0))="Intermediary Small HMO",INDEX(Producer!$P:$P,MATCH($D256,Producer!$A:$A,0))="Intermediary Large HMO"),"Only available","No"),"")</f>
        <v/>
      </c>
      <c r="CL256" s="146" t="str">
        <f t="shared" si="103"/>
        <v/>
      </c>
      <c r="CM256" s="146" t="str">
        <f t="shared" si="104"/>
        <v/>
      </c>
      <c r="CN256" s="146" t="str">
        <f t="shared" si="105"/>
        <v/>
      </c>
      <c r="CO256" s="146" t="str">
        <f t="shared" si="106"/>
        <v/>
      </c>
      <c r="CP256" s="146" t="str">
        <f t="shared" si="107"/>
        <v/>
      </c>
      <c r="CQ256" s="146" t="str">
        <f t="shared" si="108"/>
        <v/>
      </c>
      <c r="CR256" s="146" t="str">
        <f t="shared" si="109"/>
        <v/>
      </c>
      <c r="CS256" s="146" t="str">
        <f t="shared" si="110"/>
        <v/>
      </c>
      <c r="CT256" s="146" t="str">
        <f t="shared" si="111"/>
        <v/>
      </c>
      <c r="CU256" s="146"/>
    </row>
    <row r="257" spans="1:99" ht="16.399999999999999" customHeight="1" x14ac:dyDescent="0.35">
      <c r="A257" s="145" t="str">
        <f t="shared" si="84"/>
        <v/>
      </c>
      <c r="B257" s="145" t="str">
        <f>_xlfn.IFNA(_xlfn.CONCAT(INDEX(Producer!$P:$P,MATCH($D257,Producer!$A:$A,0))," ",IF(INDEX(Producer!$N:$N,MATCH($D257,Producer!$A:$A,0))="Yes","Green ",""),IF(AND(INDEX(Producer!$L:$L,MATCH($D257,Producer!$A:$A,0))="No",INDEX(Producer!$C:$C,MATCH($D257,Producer!$A:$A,0))="Fixed"),"Flexit ",""),INDEX(Producer!$B:$B,MATCH($D257,Producer!$A:$A,0))," Year ",INDEX(Producer!$C:$C,MATCH($D257,Producer!$A:$A,0))," ",VALUE(INDEX(Producer!$E:$E,MATCH($D257,Producer!$A:$A,0)))*100,"% LTV",IF(INDEX(Producer!$N:$N,MATCH($D257,Producer!$A:$A,0))="Yes"," (EPC A-C)","")," - ",IF(INDEX(Producer!$D:$D,MATCH($D257,Producer!$A:$A,0))="DLY","Daily","Annual")),"")</f>
        <v/>
      </c>
      <c r="C257" s="146" t="str">
        <f>_xlfn.IFNA(INDEX(Producer!$Q:$Q,MATCH($D257,Producer!$A:$A,0)),"")</f>
        <v/>
      </c>
      <c r="D257" s="146" t="str">
        <f>IFERROR(VALUE(MID(Producer!$R$2,IF($D256="",1/0,FIND(_xlfn.CONCAT($D255,$D256),Producer!$R$2)+10),5)),"")</f>
        <v/>
      </c>
      <c r="E257" s="146" t="str">
        <f t="shared" si="85"/>
        <v/>
      </c>
      <c r="F257" s="146"/>
      <c r="G257" s="147" t="str">
        <f>_xlfn.IFNA(VALUE(INDEX(Producer!$F:$F,MATCH($D257,Producer!$A:$A,0)))*100,"")</f>
        <v/>
      </c>
      <c r="H257" s="216" t="str">
        <f>_xlfn.IFNA(IFERROR(DATEVALUE(INDEX(Producer!$M:$M,MATCH($D257,Producer!$A:$A,0))),(INDEX(Producer!$M:$M,MATCH($D257,Producer!$A:$A,0)))),"")</f>
        <v/>
      </c>
      <c r="I257" s="217" t="str">
        <f>_xlfn.IFNA(VALUE(INDEX(Producer!$B:$B,MATCH($D257,Producer!$A:$A,0)))*12,"")</f>
        <v/>
      </c>
      <c r="J257" s="146" t="str">
        <f>_xlfn.IFNA(IF(C257="Residential",IF(VALUE(INDEX(Producer!$B:$B,MATCH($D257,Producer!$A:$A,0)))&lt;5,Constants!$C$10,""),IF(VALUE(INDEX(Producer!$B:$B,MATCH($D257,Producer!$A:$A,0)))&lt;5,Constants!$C$11,"")),"")</f>
        <v/>
      </c>
      <c r="K257" s="216" t="str">
        <f>_xlfn.IFNA(IF(($I257)&lt;60,DATE(YEAR(H257)+(5-VALUE(INDEX(Producer!$B:$B,MATCH($D257,Producer!$A:$A,0)))),MONTH(H257),DAY(H257)),""),"")</f>
        <v/>
      </c>
      <c r="L257" s="153" t="str">
        <f t="shared" si="86"/>
        <v/>
      </c>
      <c r="M257" s="146"/>
      <c r="N257" s="148"/>
      <c r="O257" s="148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46"/>
      <c r="AB257" s="146"/>
      <c r="AC257" s="146"/>
      <c r="AD257" s="146"/>
      <c r="AE257" s="146"/>
      <c r="AF257" s="146"/>
      <c r="AG257" s="146"/>
      <c r="AH257" s="146"/>
      <c r="AI257" s="146"/>
      <c r="AJ257" s="146"/>
      <c r="AK257" s="146" t="str">
        <f>IF(D257="","",IF(C257="Residential",Constants!$B$10,Constants!$B$11))</f>
        <v/>
      </c>
      <c r="AL257" s="146" t="str">
        <f t="shared" si="87"/>
        <v/>
      </c>
      <c r="AM257" s="206" t="str">
        <f t="shared" si="88"/>
        <v/>
      </c>
      <c r="AN257" s="146" t="str">
        <f t="shared" si="89"/>
        <v/>
      </c>
      <c r="AO257" s="149" t="str">
        <f t="shared" si="90"/>
        <v/>
      </c>
      <c r="AP257" s="150" t="str">
        <f t="shared" si="91"/>
        <v/>
      </c>
      <c r="AQ257" s="146" t="str">
        <f>IFERROR(_xlfn.IFNA(IF($BA257="No",0,IF(INDEX(Constants!B:B,MATCH(($I257/12),Constants!$A:$A,0))=0,0,INDEX(Constants!B:B,MATCH(($I257/12),Constants!$A:$A,0)))),0),"")</f>
        <v/>
      </c>
      <c r="AR257" s="146" t="str">
        <f>IFERROR(_xlfn.IFNA(IF($BA257="No",0,IF(INDEX(Constants!C:C,MATCH(($I257/12),Constants!$A:$A,0))=0,0,INDEX(Constants!C:C,MATCH(($I257/12),Constants!$A:$A,0)))),0),"")</f>
        <v/>
      </c>
      <c r="AS257" s="146" t="str">
        <f>IFERROR(_xlfn.IFNA(IF($BA257="No",0,IF(INDEX(Constants!D:D,MATCH(($I257/12),Constants!$A:$A,0))=0,0,INDEX(Constants!D:D,MATCH(($I257/12),Constants!$A:$A,0)))),0),"")</f>
        <v/>
      </c>
      <c r="AT257" s="146" t="str">
        <f>IFERROR(_xlfn.IFNA(IF($BA257="No",0,IF(INDEX(Constants!E:E,MATCH(($I257/12),Constants!$A:$A,0))=0,0,INDEX(Constants!E:E,MATCH(($I257/12),Constants!$A:$A,0)))),0),"")</f>
        <v/>
      </c>
      <c r="AU257" s="146" t="str">
        <f>IFERROR(_xlfn.IFNA(IF($BA257="No",0,IF(INDEX(Constants!F:F,MATCH(($I257/12),Constants!$A:$A,0))=0,0,INDEX(Constants!F:F,MATCH(($I257/12),Constants!$A:$A,0)))),0),"")</f>
        <v/>
      </c>
      <c r="AV257" s="146" t="str">
        <f>IFERROR(_xlfn.IFNA(IF($BA257="No",0,IF(INDEX(Constants!G:G,MATCH(($I257/12),Constants!$A:$A,0))=0,0,INDEX(Constants!G:G,MATCH(($I257/12),Constants!$A:$A,0)))),0),"")</f>
        <v/>
      </c>
      <c r="AW257" s="146" t="str">
        <f>IFERROR(_xlfn.IFNA(IF($BA257="No",0,IF(INDEX(Constants!H:H,MATCH(($I257/12),Constants!$A:$A,0))=0,0,INDEX(Constants!H:H,MATCH(($I257/12),Constants!$A:$A,0)))),0),"")</f>
        <v/>
      </c>
      <c r="AX257" s="146" t="str">
        <f>IFERROR(_xlfn.IFNA(IF($BA257="No",0,IF(INDEX(Constants!I:I,MATCH(($I257/12),Constants!$A:$A,0))=0,0,INDEX(Constants!I:I,MATCH(($I257/12),Constants!$A:$A,0)))),0),"")</f>
        <v/>
      </c>
      <c r="AY257" s="146" t="str">
        <f>IFERROR(_xlfn.IFNA(IF($BA257="No",0,IF(INDEX(Constants!J:J,MATCH(($I257/12),Constants!$A:$A,0))=0,0,INDEX(Constants!J:J,MATCH(($I257/12),Constants!$A:$A,0)))),0),"")</f>
        <v/>
      </c>
      <c r="AZ257" s="146" t="str">
        <f>IFERROR(_xlfn.IFNA(IF($BA257="No",0,IF(INDEX(Constants!K:K,MATCH(($I257/12),Constants!$A:$A,0))=0,0,INDEX(Constants!K:K,MATCH(($I257/12),Constants!$A:$A,0)))),0),"")</f>
        <v/>
      </c>
      <c r="BA257" s="147" t="str">
        <f>_xlfn.IFNA(INDEX(Producer!$L:$L,MATCH($D257,Producer!$A:$A,0)),"")</f>
        <v/>
      </c>
      <c r="BB257" s="146" t="str">
        <f>IFERROR(IF(AQ257=0,"",IF(($I257/12)=15,_xlfn.CONCAT(Constants!$N$7,TEXT(DATE(YEAR(H257)-(($I257/12)-3),MONTH(H257),DAY(H257)),"dd/mm/yyyy"),", ",Constants!$P$7,TEXT(DATE(YEAR(H257)-(($I257/12)-8),MONTH(H257),DAY(H257)),"dd/mm/yyyy"),", ",Constants!$T$7,TEXT(DATE(YEAR(H257)-(($I257/12)-11),MONTH(H257),DAY(H257)),"dd/mm/yyyy"),", ",Constants!$V$7,TEXT(DATE(YEAR(H257)-(($I257/12)-13),MONTH(H257),DAY(H257)),"dd/mm/yyyy"),", ",Constants!$W$7,TEXT($H257,"dd/mm/yyyy")),IF(($I257/12)=10,_xlfn.CONCAT(Constants!$N$6,TEXT(DATE(YEAR(H257)-(($I257/12)-2),MONTH(H257),DAY(H257)),"dd/mm/yyyy"),", ",Constants!$P$6,TEXT(DATE(YEAR(H257)-(($I257/12)-6),MONTH(H257),DAY(H257)),"dd/mm/yyyy"),", ",Constants!$T$6,TEXT(DATE(YEAR(H257)-(($I257/12)-8),MONTH(H257),DAY(H257)),"dd/mm/yyyy"),", ",Constants!$V$6,TEXT(DATE(YEAR(H257)-(($I257/12)-9),MONTH(H257),DAY(H257)),"dd/mm/yyyy"),", ",Constants!$W$6,TEXT($H257,"dd/mm/yyyy")),IF(($I257/12)=5,_xlfn.CONCAT(Constants!$N$5,TEXT(DATE(YEAR(H257)-(($I257/12)-1),MONTH(H257),DAY(H257)),"dd/mm/yyyy"),", ",Constants!$O$5,TEXT(DATE(YEAR(H257)-(($I257/12)-2),MONTH(H257),DAY(H257)),"dd/mm/yyyy"),", ",Constants!$P$5,TEXT(DATE(YEAR(H257)-(($I257/12)-3),MONTH(H257),DAY(H257)),"dd/mm/yyyy"),", ",Constants!$Q$5,TEXT(DATE(YEAR(H257)-(($I257/12)-4),MONTH(H257),DAY(H257)),"dd/mm/yyyy"),", ",Constants!$R$5,TEXT($H257,"dd/mm/yyyy")),IF(($I257/12)=3,_xlfn.CONCAT(Constants!$N$4,TEXT(DATE(YEAR(H257)-(($I257/12)-1),MONTH(H257),DAY(H257)),"dd/mm/yyyy"),", ",Constants!$O$4,TEXT(DATE(YEAR(H257)-(($I257/12)-2),MONTH(H257),DAY(H257)),"dd/mm/yyyy"),", ",Constants!$P$4,TEXT($H257,"dd/mm/yyyy")),IF(($I257/12)=2,_xlfn.CONCAT(Constants!$N$3,TEXT(DATE(YEAR(H257)-(($I257/12)-1),MONTH(H257),DAY(H257)),"dd/mm/yyyy"),", ",Constants!$O$3,TEXT($H257,"dd/mm/yyyy")),IF(($I257/12)=1,_xlfn.CONCAT(Constants!$N$2,TEXT($H257,"dd/mm/yyyy")),"Update Constants"))))))),"")</f>
        <v/>
      </c>
      <c r="BC257" s="147" t="str">
        <f>_xlfn.IFNA(VALUE(INDEX(Producer!$K:$K,MATCH($D257,Producer!$A:$A,0))),"")</f>
        <v/>
      </c>
      <c r="BD257" s="147" t="str">
        <f>_xlfn.IFNA(INDEX(Producer!$I:$I,MATCH($D257,Producer!$A:$A,0)),"")</f>
        <v/>
      </c>
      <c r="BE257" s="147" t="str">
        <f t="shared" si="92"/>
        <v/>
      </c>
      <c r="BF257" s="147"/>
      <c r="BG257" s="147"/>
      <c r="BH257" s="151" t="str">
        <f>_xlfn.IFNA(INDEX(Constants!$B:$B,MATCH(BC257,Constants!A:A,0)),"")</f>
        <v/>
      </c>
      <c r="BI257" s="147" t="str">
        <f>IF(LEFT(B257,15)="Limited Company",Constants!$D$16,IFERROR(_xlfn.IFNA(IF(C257="Residential",IF(BK257&lt;75,INDEX(Constants!$B:$B,MATCH(VALUE(60)/100,Constants!$A:$A,0)),INDEX(Constants!$B:$B,MATCH(VALUE(BK257)/100,Constants!$A:$A,0))),IF(BK257&lt;60,INDEX(Constants!$C:$C,MATCH(VALUE(60)/100,Constants!$A:$A,0)),INDEX(Constants!$C:$C,MATCH(VALUE(BK257)/100,Constants!$A:$A,0)))),""),""))</f>
        <v/>
      </c>
      <c r="BJ257" s="147" t="str">
        <f t="shared" si="93"/>
        <v/>
      </c>
      <c r="BK257" s="147" t="str">
        <f>_xlfn.IFNA(VALUE(INDEX(Producer!$E:$E,MATCH($D257,Producer!$A:$A,0)))*100,"")</f>
        <v/>
      </c>
      <c r="BL257" s="146" t="str">
        <f>_xlfn.IFNA(IF(IFERROR(FIND("Part &amp; Part",B257),-10)&gt;0,"PP",IF(OR(LEFT(B257,25)="Residential Interest Only",INDEX(Producer!$P:$P,MATCH($D257,Producer!$A:$A,0))="IO",INDEX(Producer!$P:$P,MATCH($D257,Producer!$A:$A,0))="Retirement Interest Only"),"IO",IF($C257="BuyToLet","CI, IO","CI"))),"")</f>
        <v/>
      </c>
      <c r="BM257" s="152" t="str">
        <f>_xlfn.IFNA(IF(BL257="IO",100%,IF(AND(INDEX(Producer!$P:$P,MATCH($D257,Producer!$A:$A,0))="Residential Interest Only Part &amp; Part",BK257=75),80%,IF(C257="BuyToLet",100%,IF(BL257="Interest Only",100%,IF(AND(INDEX(Producer!$P:$P,MATCH($D257,Producer!$A:$A,0))="Residential Interest Only Part &amp; Part",BK257=60),100%,""))))),"")</f>
        <v/>
      </c>
      <c r="BN257" s="218" t="str">
        <f>_xlfn.IFNA(IF(VALUE(INDEX(Producer!$H:$H,MATCH($D257,Producer!$A:$A,0)))=0,"",VALUE(INDEX(Producer!$H:$H,MATCH($D257,Producer!$A:$A,0)))),"")</f>
        <v/>
      </c>
      <c r="BO257" s="153"/>
      <c r="BP257" s="153"/>
      <c r="BQ257" s="219" t="str">
        <f t="shared" si="94"/>
        <v/>
      </c>
      <c r="BR257" s="146"/>
      <c r="BS257" s="146"/>
      <c r="BT257" s="146"/>
      <c r="BU257" s="146"/>
      <c r="BV257" s="219" t="str">
        <f t="shared" si="95"/>
        <v/>
      </c>
      <c r="BW257" s="146"/>
      <c r="BX257" s="146"/>
      <c r="BY257" s="146" t="str">
        <f t="shared" si="96"/>
        <v/>
      </c>
      <c r="BZ257" s="146" t="str">
        <f t="shared" si="97"/>
        <v/>
      </c>
      <c r="CA257" s="146" t="str">
        <f t="shared" si="98"/>
        <v/>
      </c>
      <c r="CB257" s="146" t="str">
        <f t="shared" si="99"/>
        <v/>
      </c>
      <c r="CC257" s="146" t="str">
        <f>_xlfn.IFNA(IF(INDEX(Producer!$P:$P,MATCH($D257,Producer!$A:$A,0))="Help to Buy","Only available","No"),"")</f>
        <v/>
      </c>
      <c r="CD257" s="146" t="str">
        <f>_xlfn.IFNA(IF(INDEX(Producer!$P:$P,MATCH($D257,Producer!$A:$A,0))="Shared Ownership","Only available","No"),"")</f>
        <v/>
      </c>
      <c r="CE257" s="146" t="str">
        <f>_xlfn.IFNA(IF(INDEX(Producer!$P:$P,MATCH($D257,Producer!$A:$A,0))="Right to Buy","Only available","No"),"")</f>
        <v/>
      </c>
      <c r="CF257" s="146" t="str">
        <f t="shared" si="100"/>
        <v/>
      </c>
      <c r="CG257" s="146" t="str">
        <f>_xlfn.IFNA(IF(INDEX(Producer!$P:$P,MATCH($D257,Producer!$A:$A,0))="Retirement Interest Only","Only available","No"),"")</f>
        <v/>
      </c>
      <c r="CH257" s="146" t="str">
        <f t="shared" si="101"/>
        <v/>
      </c>
      <c r="CI257" s="146" t="str">
        <f>_xlfn.IFNA(IF(INDEX(Producer!$P:$P,MATCH($D257,Producer!$A:$A,0))="Intermediary Holiday Let","Only available","No"),"")</f>
        <v/>
      </c>
      <c r="CJ257" s="146" t="str">
        <f t="shared" si="102"/>
        <v/>
      </c>
      <c r="CK257" s="146" t="str">
        <f>_xlfn.IFNA(IF(OR(INDEX(Producer!$P:$P,MATCH($D257,Producer!$A:$A,0))="Intermediary Small HMO",INDEX(Producer!$P:$P,MATCH($D257,Producer!$A:$A,0))="Intermediary Large HMO"),"Only available","No"),"")</f>
        <v/>
      </c>
      <c r="CL257" s="146" t="str">
        <f t="shared" si="103"/>
        <v/>
      </c>
      <c r="CM257" s="146" t="str">
        <f t="shared" si="104"/>
        <v/>
      </c>
      <c r="CN257" s="146" t="str">
        <f t="shared" si="105"/>
        <v/>
      </c>
      <c r="CO257" s="146" t="str">
        <f t="shared" si="106"/>
        <v/>
      </c>
      <c r="CP257" s="146" t="str">
        <f t="shared" si="107"/>
        <v/>
      </c>
      <c r="CQ257" s="146" t="str">
        <f t="shared" si="108"/>
        <v/>
      </c>
      <c r="CR257" s="146" t="str">
        <f t="shared" si="109"/>
        <v/>
      </c>
      <c r="CS257" s="146" t="str">
        <f t="shared" si="110"/>
        <v/>
      </c>
      <c r="CT257" s="146" t="str">
        <f t="shared" si="111"/>
        <v/>
      </c>
      <c r="CU257" s="146"/>
    </row>
    <row r="258" spans="1:99" ht="16.399999999999999" customHeight="1" x14ac:dyDescent="0.35">
      <c r="A258" s="145" t="str">
        <f t="shared" si="84"/>
        <v/>
      </c>
      <c r="B258" s="145" t="str">
        <f>_xlfn.IFNA(_xlfn.CONCAT(INDEX(Producer!$P:$P,MATCH($D258,Producer!$A:$A,0))," ",IF(INDEX(Producer!$N:$N,MATCH($D258,Producer!$A:$A,0))="Yes","Green ",""),IF(AND(INDEX(Producer!$L:$L,MATCH($D258,Producer!$A:$A,0))="No",INDEX(Producer!$C:$C,MATCH($D258,Producer!$A:$A,0))="Fixed"),"Flexit ",""),INDEX(Producer!$B:$B,MATCH($D258,Producer!$A:$A,0))," Year ",INDEX(Producer!$C:$C,MATCH($D258,Producer!$A:$A,0))," ",VALUE(INDEX(Producer!$E:$E,MATCH($D258,Producer!$A:$A,0)))*100,"% LTV",IF(INDEX(Producer!$N:$N,MATCH($D258,Producer!$A:$A,0))="Yes"," (EPC A-C)","")," - ",IF(INDEX(Producer!$D:$D,MATCH($D258,Producer!$A:$A,0))="DLY","Daily","Annual")),"")</f>
        <v/>
      </c>
      <c r="C258" s="146" t="str">
        <f>_xlfn.IFNA(INDEX(Producer!$Q:$Q,MATCH($D258,Producer!$A:$A,0)),"")</f>
        <v/>
      </c>
      <c r="D258" s="146" t="str">
        <f>IFERROR(VALUE(MID(Producer!$R$2,IF($D257="",1/0,FIND(_xlfn.CONCAT($D256,$D257),Producer!$R$2)+10),5)),"")</f>
        <v/>
      </c>
      <c r="E258" s="146" t="str">
        <f t="shared" si="85"/>
        <v/>
      </c>
      <c r="F258" s="146"/>
      <c r="G258" s="147" t="str">
        <f>_xlfn.IFNA(VALUE(INDEX(Producer!$F:$F,MATCH($D258,Producer!$A:$A,0)))*100,"")</f>
        <v/>
      </c>
      <c r="H258" s="216" t="str">
        <f>_xlfn.IFNA(IFERROR(DATEVALUE(INDEX(Producer!$M:$M,MATCH($D258,Producer!$A:$A,0))),(INDEX(Producer!$M:$M,MATCH($D258,Producer!$A:$A,0)))),"")</f>
        <v/>
      </c>
      <c r="I258" s="217" t="str">
        <f>_xlfn.IFNA(VALUE(INDEX(Producer!$B:$B,MATCH($D258,Producer!$A:$A,0)))*12,"")</f>
        <v/>
      </c>
      <c r="J258" s="146" t="str">
        <f>_xlfn.IFNA(IF(C258="Residential",IF(VALUE(INDEX(Producer!$B:$B,MATCH($D258,Producer!$A:$A,0)))&lt;5,Constants!$C$10,""),IF(VALUE(INDEX(Producer!$B:$B,MATCH($D258,Producer!$A:$A,0)))&lt;5,Constants!$C$11,"")),"")</f>
        <v/>
      </c>
      <c r="K258" s="216" t="str">
        <f>_xlfn.IFNA(IF(($I258)&lt;60,DATE(YEAR(H258)+(5-VALUE(INDEX(Producer!$B:$B,MATCH($D258,Producer!$A:$A,0)))),MONTH(H258),DAY(H258)),""),"")</f>
        <v/>
      </c>
      <c r="L258" s="153" t="str">
        <f t="shared" si="86"/>
        <v/>
      </c>
      <c r="M258" s="146"/>
      <c r="N258" s="148"/>
      <c r="O258" s="148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6"/>
      <c r="AK258" s="146" t="str">
        <f>IF(D258="","",IF(C258="Residential",Constants!$B$10,Constants!$B$11))</f>
        <v/>
      </c>
      <c r="AL258" s="146" t="str">
        <f t="shared" si="87"/>
        <v/>
      </c>
      <c r="AM258" s="206" t="str">
        <f t="shared" si="88"/>
        <v/>
      </c>
      <c r="AN258" s="146" t="str">
        <f t="shared" si="89"/>
        <v/>
      </c>
      <c r="AO258" s="149" t="str">
        <f t="shared" si="90"/>
        <v/>
      </c>
      <c r="AP258" s="150" t="str">
        <f t="shared" si="91"/>
        <v/>
      </c>
      <c r="AQ258" s="146" t="str">
        <f>IFERROR(_xlfn.IFNA(IF($BA258="No",0,IF(INDEX(Constants!B:B,MATCH(($I258/12),Constants!$A:$A,0))=0,0,INDEX(Constants!B:B,MATCH(($I258/12),Constants!$A:$A,0)))),0),"")</f>
        <v/>
      </c>
      <c r="AR258" s="146" t="str">
        <f>IFERROR(_xlfn.IFNA(IF($BA258="No",0,IF(INDEX(Constants!C:C,MATCH(($I258/12),Constants!$A:$A,0))=0,0,INDEX(Constants!C:C,MATCH(($I258/12),Constants!$A:$A,0)))),0),"")</f>
        <v/>
      </c>
      <c r="AS258" s="146" t="str">
        <f>IFERROR(_xlfn.IFNA(IF($BA258="No",0,IF(INDEX(Constants!D:D,MATCH(($I258/12),Constants!$A:$A,0))=0,0,INDEX(Constants!D:D,MATCH(($I258/12),Constants!$A:$A,0)))),0),"")</f>
        <v/>
      </c>
      <c r="AT258" s="146" t="str">
        <f>IFERROR(_xlfn.IFNA(IF($BA258="No",0,IF(INDEX(Constants!E:E,MATCH(($I258/12),Constants!$A:$A,0))=0,0,INDEX(Constants!E:E,MATCH(($I258/12),Constants!$A:$A,0)))),0),"")</f>
        <v/>
      </c>
      <c r="AU258" s="146" t="str">
        <f>IFERROR(_xlfn.IFNA(IF($BA258="No",0,IF(INDEX(Constants!F:F,MATCH(($I258/12),Constants!$A:$A,0))=0,0,INDEX(Constants!F:F,MATCH(($I258/12),Constants!$A:$A,0)))),0),"")</f>
        <v/>
      </c>
      <c r="AV258" s="146" t="str">
        <f>IFERROR(_xlfn.IFNA(IF($BA258="No",0,IF(INDEX(Constants!G:G,MATCH(($I258/12),Constants!$A:$A,0))=0,0,INDEX(Constants!G:G,MATCH(($I258/12),Constants!$A:$A,0)))),0),"")</f>
        <v/>
      </c>
      <c r="AW258" s="146" t="str">
        <f>IFERROR(_xlfn.IFNA(IF($BA258="No",0,IF(INDEX(Constants!H:H,MATCH(($I258/12),Constants!$A:$A,0))=0,0,INDEX(Constants!H:H,MATCH(($I258/12),Constants!$A:$A,0)))),0),"")</f>
        <v/>
      </c>
      <c r="AX258" s="146" t="str">
        <f>IFERROR(_xlfn.IFNA(IF($BA258="No",0,IF(INDEX(Constants!I:I,MATCH(($I258/12),Constants!$A:$A,0))=0,0,INDEX(Constants!I:I,MATCH(($I258/12),Constants!$A:$A,0)))),0),"")</f>
        <v/>
      </c>
      <c r="AY258" s="146" t="str">
        <f>IFERROR(_xlfn.IFNA(IF($BA258="No",0,IF(INDEX(Constants!J:J,MATCH(($I258/12),Constants!$A:$A,0))=0,0,INDEX(Constants!J:J,MATCH(($I258/12),Constants!$A:$A,0)))),0),"")</f>
        <v/>
      </c>
      <c r="AZ258" s="146" t="str">
        <f>IFERROR(_xlfn.IFNA(IF($BA258="No",0,IF(INDEX(Constants!K:K,MATCH(($I258/12),Constants!$A:$A,0))=0,0,INDEX(Constants!K:K,MATCH(($I258/12),Constants!$A:$A,0)))),0),"")</f>
        <v/>
      </c>
      <c r="BA258" s="147" t="str">
        <f>_xlfn.IFNA(INDEX(Producer!$L:$L,MATCH($D258,Producer!$A:$A,0)),"")</f>
        <v/>
      </c>
      <c r="BB258" s="146" t="str">
        <f>IFERROR(IF(AQ258=0,"",IF(($I258/12)=15,_xlfn.CONCAT(Constants!$N$7,TEXT(DATE(YEAR(H258)-(($I258/12)-3),MONTH(H258),DAY(H258)),"dd/mm/yyyy"),", ",Constants!$P$7,TEXT(DATE(YEAR(H258)-(($I258/12)-8),MONTH(H258),DAY(H258)),"dd/mm/yyyy"),", ",Constants!$T$7,TEXT(DATE(YEAR(H258)-(($I258/12)-11),MONTH(H258),DAY(H258)),"dd/mm/yyyy"),", ",Constants!$V$7,TEXT(DATE(YEAR(H258)-(($I258/12)-13),MONTH(H258),DAY(H258)),"dd/mm/yyyy"),", ",Constants!$W$7,TEXT($H258,"dd/mm/yyyy")),IF(($I258/12)=10,_xlfn.CONCAT(Constants!$N$6,TEXT(DATE(YEAR(H258)-(($I258/12)-2),MONTH(H258),DAY(H258)),"dd/mm/yyyy"),", ",Constants!$P$6,TEXT(DATE(YEAR(H258)-(($I258/12)-6),MONTH(H258),DAY(H258)),"dd/mm/yyyy"),", ",Constants!$T$6,TEXT(DATE(YEAR(H258)-(($I258/12)-8),MONTH(H258),DAY(H258)),"dd/mm/yyyy"),", ",Constants!$V$6,TEXT(DATE(YEAR(H258)-(($I258/12)-9),MONTH(H258),DAY(H258)),"dd/mm/yyyy"),", ",Constants!$W$6,TEXT($H258,"dd/mm/yyyy")),IF(($I258/12)=5,_xlfn.CONCAT(Constants!$N$5,TEXT(DATE(YEAR(H258)-(($I258/12)-1),MONTH(H258),DAY(H258)),"dd/mm/yyyy"),", ",Constants!$O$5,TEXT(DATE(YEAR(H258)-(($I258/12)-2),MONTH(H258),DAY(H258)),"dd/mm/yyyy"),", ",Constants!$P$5,TEXT(DATE(YEAR(H258)-(($I258/12)-3),MONTH(H258),DAY(H258)),"dd/mm/yyyy"),", ",Constants!$Q$5,TEXT(DATE(YEAR(H258)-(($I258/12)-4),MONTH(H258),DAY(H258)),"dd/mm/yyyy"),", ",Constants!$R$5,TEXT($H258,"dd/mm/yyyy")),IF(($I258/12)=3,_xlfn.CONCAT(Constants!$N$4,TEXT(DATE(YEAR(H258)-(($I258/12)-1),MONTH(H258),DAY(H258)),"dd/mm/yyyy"),", ",Constants!$O$4,TEXT(DATE(YEAR(H258)-(($I258/12)-2),MONTH(H258),DAY(H258)),"dd/mm/yyyy"),", ",Constants!$P$4,TEXT($H258,"dd/mm/yyyy")),IF(($I258/12)=2,_xlfn.CONCAT(Constants!$N$3,TEXT(DATE(YEAR(H258)-(($I258/12)-1),MONTH(H258),DAY(H258)),"dd/mm/yyyy"),", ",Constants!$O$3,TEXT($H258,"dd/mm/yyyy")),IF(($I258/12)=1,_xlfn.CONCAT(Constants!$N$2,TEXT($H258,"dd/mm/yyyy")),"Update Constants"))))))),"")</f>
        <v/>
      </c>
      <c r="BC258" s="147" t="str">
        <f>_xlfn.IFNA(VALUE(INDEX(Producer!$K:$K,MATCH($D258,Producer!$A:$A,0))),"")</f>
        <v/>
      </c>
      <c r="BD258" s="147" t="str">
        <f>_xlfn.IFNA(INDEX(Producer!$I:$I,MATCH($D258,Producer!$A:$A,0)),"")</f>
        <v/>
      </c>
      <c r="BE258" s="147" t="str">
        <f t="shared" si="92"/>
        <v/>
      </c>
      <c r="BF258" s="147"/>
      <c r="BG258" s="147"/>
      <c r="BH258" s="151" t="str">
        <f>_xlfn.IFNA(INDEX(Constants!$B:$B,MATCH(BC258,Constants!A:A,0)),"")</f>
        <v/>
      </c>
      <c r="BI258" s="147" t="str">
        <f>IF(LEFT(B258,15)="Limited Company",Constants!$D$16,IFERROR(_xlfn.IFNA(IF(C258="Residential",IF(BK258&lt;75,INDEX(Constants!$B:$B,MATCH(VALUE(60)/100,Constants!$A:$A,0)),INDEX(Constants!$B:$B,MATCH(VALUE(BK258)/100,Constants!$A:$A,0))),IF(BK258&lt;60,INDEX(Constants!$C:$C,MATCH(VALUE(60)/100,Constants!$A:$A,0)),INDEX(Constants!$C:$C,MATCH(VALUE(BK258)/100,Constants!$A:$A,0)))),""),""))</f>
        <v/>
      </c>
      <c r="BJ258" s="147" t="str">
        <f t="shared" si="93"/>
        <v/>
      </c>
      <c r="BK258" s="147" t="str">
        <f>_xlfn.IFNA(VALUE(INDEX(Producer!$E:$E,MATCH($D258,Producer!$A:$A,0)))*100,"")</f>
        <v/>
      </c>
      <c r="BL258" s="146" t="str">
        <f>_xlfn.IFNA(IF(IFERROR(FIND("Part &amp; Part",B258),-10)&gt;0,"PP",IF(OR(LEFT(B258,25)="Residential Interest Only",INDEX(Producer!$P:$P,MATCH($D258,Producer!$A:$A,0))="IO",INDEX(Producer!$P:$P,MATCH($D258,Producer!$A:$A,0))="Retirement Interest Only"),"IO",IF($C258="BuyToLet","CI, IO","CI"))),"")</f>
        <v/>
      </c>
      <c r="BM258" s="152" t="str">
        <f>_xlfn.IFNA(IF(BL258="IO",100%,IF(AND(INDEX(Producer!$P:$P,MATCH($D258,Producer!$A:$A,0))="Residential Interest Only Part &amp; Part",BK258=75),80%,IF(C258="BuyToLet",100%,IF(BL258="Interest Only",100%,IF(AND(INDEX(Producer!$P:$P,MATCH($D258,Producer!$A:$A,0))="Residential Interest Only Part &amp; Part",BK258=60),100%,""))))),"")</f>
        <v/>
      </c>
      <c r="BN258" s="218" t="str">
        <f>_xlfn.IFNA(IF(VALUE(INDEX(Producer!$H:$H,MATCH($D258,Producer!$A:$A,0)))=0,"",VALUE(INDEX(Producer!$H:$H,MATCH($D258,Producer!$A:$A,0)))),"")</f>
        <v/>
      </c>
      <c r="BO258" s="153"/>
      <c r="BP258" s="153"/>
      <c r="BQ258" s="219" t="str">
        <f t="shared" si="94"/>
        <v/>
      </c>
      <c r="BR258" s="146"/>
      <c r="BS258" s="146"/>
      <c r="BT258" s="146"/>
      <c r="BU258" s="146"/>
      <c r="BV258" s="219" t="str">
        <f t="shared" si="95"/>
        <v/>
      </c>
      <c r="BW258" s="146"/>
      <c r="BX258" s="146"/>
      <c r="BY258" s="146" t="str">
        <f t="shared" si="96"/>
        <v/>
      </c>
      <c r="BZ258" s="146" t="str">
        <f t="shared" si="97"/>
        <v/>
      </c>
      <c r="CA258" s="146" t="str">
        <f t="shared" si="98"/>
        <v/>
      </c>
      <c r="CB258" s="146" t="str">
        <f t="shared" si="99"/>
        <v/>
      </c>
      <c r="CC258" s="146" t="str">
        <f>_xlfn.IFNA(IF(INDEX(Producer!$P:$P,MATCH($D258,Producer!$A:$A,0))="Help to Buy","Only available","No"),"")</f>
        <v/>
      </c>
      <c r="CD258" s="146" t="str">
        <f>_xlfn.IFNA(IF(INDEX(Producer!$P:$P,MATCH($D258,Producer!$A:$A,0))="Shared Ownership","Only available","No"),"")</f>
        <v/>
      </c>
      <c r="CE258" s="146" t="str">
        <f>_xlfn.IFNA(IF(INDEX(Producer!$P:$P,MATCH($D258,Producer!$A:$A,0))="Right to Buy","Only available","No"),"")</f>
        <v/>
      </c>
      <c r="CF258" s="146" t="str">
        <f t="shared" si="100"/>
        <v/>
      </c>
      <c r="CG258" s="146" t="str">
        <f>_xlfn.IFNA(IF(INDEX(Producer!$P:$P,MATCH($D258,Producer!$A:$A,0))="Retirement Interest Only","Only available","No"),"")</f>
        <v/>
      </c>
      <c r="CH258" s="146" t="str">
        <f t="shared" si="101"/>
        <v/>
      </c>
      <c r="CI258" s="146" t="str">
        <f>_xlfn.IFNA(IF(INDEX(Producer!$P:$P,MATCH($D258,Producer!$A:$A,0))="Intermediary Holiday Let","Only available","No"),"")</f>
        <v/>
      </c>
      <c r="CJ258" s="146" t="str">
        <f t="shared" si="102"/>
        <v/>
      </c>
      <c r="CK258" s="146" t="str">
        <f>_xlfn.IFNA(IF(OR(INDEX(Producer!$P:$P,MATCH($D258,Producer!$A:$A,0))="Intermediary Small HMO",INDEX(Producer!$P:$P,MATCH($D258,Producer!$A:$A,0))="Intermediary Large HMO"),"Only available","No"),"")</f>
        <v/>
      </c>
      <c r="CL258" s="146" t="str">
        <f t="shared" si="103"/>
        <v/>
      </c>
      <c r="CM258" s="146" t="str">
        <f t="shared" si="104"/>
        <v/>
      </c>
      <c r="CN258" s="146" t="str">
        <f t="shared" si="105"/>
        <v/>
      </c>
      <c r="CO258" s="146" t="str">
        <f t="shared" si="106"/>
        <v/>
      </c>
      <c r="CP258" s="146" t="str">
        <f t="shared" si="107"/>
        <v/>
      </c>
      <c r="CQ258" s="146" t="str">
        <f t="shared" si="108"/>
        <v/>
      </c>
      <c r="CR258" s="146" t="str">
        <f t="shared" si="109"/>
        <v/>
      </c>
      <c r="CS258" s="146" t="str">
        <f t="shared" si="110"/>
        <v/>
      </c>
      <c r="CT258" s="146" t="str">
        <f t="shared" si="111"/>
        <v/>
      </c>
      <c r="CU258" s="146"/>
    </row>
    <row r="259" spans="1:99" ht="16.399999999999999" customHeight="1" x14ac:dyDescent="0.35">
      <c r="A259" s="145" t="str">
        <f t="shared" ref="A259:A300" si="112">IF(B259="","","Leeds Building Society")</f>
        <v/>
      </c>
      <c r="B259" s="145" t="str">
        <f>_xlfn.IFNA(_xlfn.CONCAT(INDEX(Producer!$P:$P,MATCH($D259,Producer!$A:$A,0))," ",IF(INDEX(Producer!$N:$N,MATCH($D259,Producer!$A:$A,0))="Yes","Green ",""),IF(AND(INDEX(Producer!$L:$L,MATCH($D259,Producer!$A:$A,0))="No",INDEX(Producer!$C:$C,MATCH($D259,Producer!$A:$A,0))="Fixed"),"Flexit ",""),INDEX(Producer!$B:$B,MATCH($D259,Producer!$A:$A,0))," Year ",INDEX(Producer!$C:$C,MATCH($D259,Producer!$A:$A,0))," ",VALUE(INDEX(Producer!$E:$E,MATCH($D259,Producer!$A:$A,0)))*100,"% LTV",IF(INDEX(Producer!$N:$N,MATCH($D259,Producer!$A:$A,0))="Yes"," (EPC A-C)","")," - ",IF(INDEX(Producer!$D:$D,MATCH($D259,Producer!$A:$A,0))="DLY","Daily","Annual")),"")</f>
        <v/>
      </c>
      <c r="C259" s="146" t="str">
        <f>_xlfn.IFNA(INDEX(Producer!$Q:$Q,MATCH($D259,Producer!$A:$A,0)),"")</f>
        <v/>
      </c>
      <c r="D259" s="146" t="str">
        <f>IFERROR(VALUE(MID(Producer!$R$2,IF($D258="",1/0,FIND(_xlfn.CONCAT($D257,$D258),Producer!$R$2)+10),5)),"")</f>
        <v/>
      </c>
      <c r="E259" s="146" t="str">
        <f t="shared" ref="E259:E300" si="113">IF(D259="","",IF(IFERROR(FIND("Tracker",B259),-1)&gt;0,"Tracker",IF(J259="","Fixed","Stepped Fixed")))</f>
        <v/>
      </c>
      <c r="F259" s="146"/>
      <c r="G259" s="147" t="str">
        <f>_xlfn.IFNA(VALUE(INDEX(Producer!$F:$F,MATCH($D259,Producer!$A:$A,0)))*100,"")</f>
        <v/>
      </c>
      <c r="H259" s="216" t="str">
        <f>_xlfn.IFNA(IFERROR(DATEVALUE(INDEX(Producer!$M:$M,MATCH($D259,Producer!$A:$A,0))),(INDEX(Producer!$M:$M,MATCH($D259,Producer!$A:$A,0)))),"")</f>
        <v/>
      </c>
      <c r="I259" s="217" t="str">
        <f>_xlfn.IFNA(VALUE(INDEX(Producer!$B:$B,MATCH($D259,Producer!$A:$A,0)))*12,"")</f>
        <v/>
      </c>
      <c r="J259" s="146" t="str">
        <f>_xlfn.IFNA(IF(C259="Residential",IF(VALUE(INDEX(Producer!$B:$B,MATCH($D259,Producer!$A:$A,0)))&lt;5,Constants!$C$10,""),IF(VALUE(INDEX(Producer!$B:$B,MATCH($D259,Producer!$A:$A,0)))&lt;5,Constants!$C$11,"")),"")</f>
        <v/>
      </c>
      <c r="K259" s="216" t="str">
        <f>_xlfn.IFNA(IF(($I259)&lt;60,DATE(YEAR(H259)+(5-VALUE(INDEX(Producer!$B:$B,MATCH($D259,Producer!$A:$A,0)))),MONTH(H259),DAY(H259)),""),"")</f>
        <v/>
      </c>
      <c r="L259" s="153" t="str">
        <f t="shared" ref="L259:L300" si="114">IFERROR(ROUNDDOWN(VALUE((K259-H259)/365)*12,0),"")</f>
        <v/>
      </c>
      <c r="M259" s="146"/>
      <c r="N259" s="148"/>
      <c r="O259" s="148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6"/>
      <c r="AK259" s="146" t="str">
        <f>IF(D259="","",IF(C259="Residential",Constants!$B$10,Constants!$B$11))</f>
        <v/>
      </c>
      <c r="AL259" s="146" t="str">
        <f t="shared" ref="AL259:AL300" si="115">IF(D259="","",IF(C259="Residential","SVR","BVR"))</f>
        <v/>
      </c>
      <c r="AM259" s="206" t="str">
        <f t="shared" ref="AM259:AM300" si="116">IF(E259="Tracker",0%,"")</f>
        <v/>
      </c>
      <c r="AN259" s="146" t="str">
        <f t="shared" ref="AN259:AN300" si="117">IF(D259="","",IFERROR(IF(AQ259="","",10),10))</f>
        <v/>
      </c>
      <c r="AO259" s="149" t="str">
        <f t="shared" ref="AO259:AO300" si="118">IF(A259="","","Remortgage")</f>
        <v/>
      </c>
      <c r="AP259" s="150" t="str">
        <f t="shared" ref="AP259:AP300" si="119">IF(D259="","","ProductTransfer")</f>
        <v/>
      </c>
      <c r="AQ259" s="146" t="str">
        <f>IFERROR(_xlfn.IFNA(IF($BA259="No",0,IF(INDEX(Constants!B:B,MATCH(($I259/12),Constants!$A:$A,0))=0,0,INDEX(Constants!B:B,MATCH(($I259/12),Constants!$A:$A,0)))),0),"")</f>
        <v/>
      </c>
      <c r="AR259" s="146" t="str">
        <f>IFERROR(_xlfn.IFNA(IF($BA259="No",0,IF(INDEX(Constants!C:C,MATCH(($I259/12),Constants!$A:$A,0))=0,0,INDEX(Constants!C:C,MATCH(($I259/12),Constants!$A:$A,0)))),0),"")</f>
        <v/>
      </c>
      <c r="AS259" s="146" t="str">
        <f>IFERROR(_xlfn.IFNA(IF($BA259="No",0,IF(INDEX(Constants!D:D,MATCH(($I259/12),Constants!$A:$A,0))=0,0,INDEX(Constants!D:D,MATCH(($I259/12),Constants!$A:$A,0)))),0),"")</f>
        <v/>
      </c>
      <c r="AT259" s="146" t="str">
        <f>IFERROR(_xlfn.IFNA(IF($BA259="No",0,IF(INDEX(Constants!E:E,MATCH(($I259/12),Constants!$A:$A,0))=0,0,INDEX(Constants!E:E,MATCH(($I259/12),Constants!$A:$A,0)))),0),"")</f>
        <v/>
      </c>
      <c r="AU259" s="146" t="str">
        <f>IFERROR(_xlfn.IFNA(IF($BA259="No",0,IF(INDEX(Constants!F:F,MATCH(($I259/12),Constants!$A:$A,0))=0,0,INDEX(Constants!F:F,MATCH(($I259/12),Constants!$A:$A,0)))),0),"")</f>
        <v/>
      </c>
      <c r="AV259" s="146" t="str">
        <f>IFERROR(_xlfn.IFNA(IF($BA259="No",0,IF(INDEX(Constants!G:G,MATCH(($I259/12),Constants!$A:$A,0))=0,0,INDEX(Constants!G:G,MATCH(($I259/12),Constants!$A:$A,0)))),0),"")</f>
        <v/>
      </c>
      <c r="AW259" s="146" t="str">
        <f>IFERROR(_xlfn.IFNA(IF($BA259="No",0,IF(INDEX(Constants!H:H,MATCH(($I259/12),Constants!$A:$A,0))=0,0,INDEX(Constants!H:H,MATCH(($I259/12),Constants!$A:$A,0)))),0),"")</f>
        <v/>
      </c>
      <c r="AX259" s="146" t="str">
        <f>IFERROR(_xlfn.IFNA(IF($BA259="No",0,IF(INDEX(Constants!I:I,MATCH(($I259/12),Constants!$A:$A,0))=0,0,INDEX(Constants!I:I,MATCH(($I259/12),Constants!$A:$A,0)))),0),"")</f>
        <v/>
      </c>
      <c r="AY259" s="146" t="str">
        <f>IFERROR(_xlfn.IFNA(IF($BA259="No",0,IF(INDEX(Constants!J:J,MATCH(($I259/12),Constants!$A:$A,0))=0,0,INDEX(Constants!J:J,MATCH(($I259/12),Constants!$A:$A,0)))),0),"")</f>
        <v/>
      </c>
      <c r="AZ259" s="146" t="str">
        <f>IFERROR(_xlfn.IFNA(IF($BA259="No",0,IF(INDEX(Constants!K:K,MATCH(($I259/12),Constants!$A:$A,0))=0,0,INDEX(Constants!K:K,MATCH(($I259/12),Constants!$A:$A,0)))),0),"")</f>
        <v/>
      </c>
      <c r="BA259" s="147" t="str">
        <f>_xlfn.IFNA(INDEX(Producer!$L:$L,MATCH($D259,Producer!$A:$A,0)),"")</f>
        <v/>
      </c>
      <c r="BB259" s="146" t="str">
        <f>IFERROR(IF(AQ259=0,"",IF(($I259/12)=15,_xlfn.CONCAT(Constants!$N$7,TEXT(DATE(YEAR(H259)-(($I259/12)-3),MONTH(H259),DAY(H259)),"dd/mm/yyyy"),", ",Constants!$P$7,TEXT(DATE(YEAR(H259)-(($I259/12)-8),MONTH(H259),DAY(H259)),"dd/mm/yyyy"),", ",Constants!$T$7,TEXT(DATE(YEAR(H259)-(($I259/12)-11),MONTH(H259),DAY(H259)),"dd/mm/yyyy"),", ",Constants!$V$7,TEXT(DATE(YEAR(H259)-(($I259/12)-13),MONTH(H259),DAY(H259)),"dd/mm/yyyy"),", ",Constants!$W$7,TEXT($H259,"dd/mm/yyyy")),IF(($I259/12)=10,_xlfn.CONCAT(Constants!$N$6,TEXT(DATE(YEAR(H259)-(($I259/12)-2),MONTH(H259),DAY(H259)),"dd/mm/yyyy"),", ",Constants!$P$6,TEXT(DATE(YEAR(H259)-(($I259/12)-6),MONTH(H259),DAY(H259)),"dd/mm/yyyy"),", ",Constants!$T$6,TEXT(DATE(YEAR(H259)-(($I259/12)-8),MONTH(H259),DAY(H259)),"dd/mm/yyyy"),", ",Constants!$V$6,TEXT(DATE(YEAR(H259)-(($I259/12)-9),MONTH(H259),DAY(H259)),"dd/mm/yyyy"),", ",Constants!$W$6,TEXT($H259,"dd/mm/yyyy")),IF(($I259/12)=5,_xlfn.CONCAT(Constants!$N$5,TEXT(DATE(YEAR(H259)-(($I259/12)-1),MONTH(H259),DAY(H259)),"dd/mm/yyyy"),", ",Constants!$O$5,TEXT(DATE(YEAR(H259)-(($I259/12)-2),MONTH(H259),DAY(H259)),"dd/mm/yyyy"),", ",Constants!$P$5,TEXT(DATE(YEAR(H259)-(($I259/12)-3),MONTH(H259),DAY(H259)),"dd/mm/yyyy"),", ",Constants!$Q$5,TEXT(DATE(YEAR(H259)-(($I259/12)-4),MONTH(H259),DAY(H259)),"dd/mm/yyyy"),", ",Constants!$R$5,TEXT($H259,"dd/mm/yyyy")),IF(($I259/12)=3,_xlfn.CONCAT(Constants!$N$4,TEXT(DATE(YEAR(H259)-(($I259/12)-1),MONTH(H259),DAY(H259)),"dd/mm/yyyy"),", ",Constants!$O$4,TEXT(DATE(YEAR(H259)-(($I259/12)-2),MONTH(H259),DAY(H259)),"dd/mm/yyyy"),", ",Constants!$P$4,TEXT($H259,"dd/mm/yyyy")),IF(($I259/12)=2,_xlfn.CONCAT(Constants!$N$3,TEXT(DATE(YEAR(H259)-(($I259/12)-1),MONTH(H259),DAY(H259)),"dd/mm/yyyy"),", ",Constants!$O$3,TEXT($H259,"dd/mm/yyyy")),IF(($I259/12)=1,_xlfn.CONCAT(Constants!$N$2,TEXT($H259,"dd/mm/yyyy")),"Update Constants"))))))),"")</f>
        <v/>
      </c>
      <c r="BC259" s="147" t="str">
        <f>_xlfn.IFNA(VALUE(INDEX(Producer!$K:$K,MATCH($D259,Producer!$A:$A,0))),"")</f>
        <v/>
      </c>
      <c r="BD259" s="147" t="str">
        <f>_xlfn.IFNA(INDEX(Producer!$I:$I,MATCH($D259,Producer!$A:$A,0)),"")</f>
        <v/>
      </c>
      <c r="BE259" s="147" t="str">
        <f t="shared" ref="BE259:BE300" si="120">IF(B259="","","Yes")</f>
        <v/>
      </c>
      <c r="BF259" s="147"/>
      <c r="BG259" s="147"/>
      <c r="BH259" s="151" t="str">
        <f>_xlfn.IFNA(INDEX(Constants!$B:$B,MATCH(BC259,Constants!A:A,0)),"")</f>
        <v/>
      </c>
      <c r="BI259" s="147" t="str">
        <f>IF(LEFT(B259,15)="Limited Company",Constants!$D$16,IFERROR(_xlfn.IFNA(IF(C259="Residential",IF(BK259&lt;75,INDEX(Constants!$B:$B,MATCH(VALUE(60)/100,Constants!$A:$A,0)),INDEX(Constants!$B:$B,MATCH(VALUE(BK259)/100,Constants!$A:$A,0))),IF(BK259&lt;60,INDEX(Constants!$C:$C,MATCH(VALUE(60)/100,Constants!$A:$A,0)),INDEX(Constants!$C:$C,MATCH(VALUE(BK259)/100,Constants!$A:$A,0)))),""),""))</f>
        <v/>
      </c>
      <c r="BJ259" s="147" t="str">
        <f t="shared" ref="BJ259:BJ300" si="121">IF(B259="","",0)</f>
        <v/>
      </c>
      <c r="BK259" s="147" t="str">
        <f>_xlfn.IFNA(VALUE(INDEX(Producer!$E:$E,MATCH($D259,Producer!$A:$A,0)))*100,"")</f>
        <v/>
      </c>
      <c r="BL259" s="146" t="str">
        <f>_xlfn.IFNA(IF(IFERROR(FIND("Part &amp; Part",B259),-10)&gt;0,"PP",IF(OR(LEFT(B259,25)="Residential Interest Only",INDEX(Producer!$P:$P,MATCH($D259,Producer!$A:$A,0))="IO",INDEX(Producer!$P:$P,MATCH($D259,Producer!$A:$A,0))="Retirement Interest Only"),"IO",IF($C259="BuyToLet","CI, IO","CI"))),"")</f>
        <v/>
      </c>
      <c r="BM259" s="152" t="str">
        <f>_xlfn.IFNA(IF(BL259="IO",100%,IF(AND(INDEX(Producer!$P:$P,MATCH($D259,Producer!$A:$A,0))="Residential Interest Only Part &amp; Part",BK259=75),80%,IF(C259="BuyToLet",100%,IF(BL259="Interest Only",100%,IF(AND(INDEX(Producer!$P:$P,MATCH($D259,Producer!$A:$A,0))="Residential Interest Only Part &amp; Part",BK259=60),100%,""))))),"")</f>
        <v/>
      </c>
      <c r="BN259" s="218" t="str">
        <f>_xlfn.IFNA(IF(VALUE(INDEX(Producer!$H:$H,MATCH($D259,Producer!$A:$A,0)))=0,"",VALUE(INDEX(Producer!$H:$H,MATCH($D259,Producer!$A:$A,0)))),"")</f>
        <v/>
      </c>
      <c r="BO259" s="153"/>
      <c r="BP259" s="153"/>
      <c r="BQ259" s="219" t="str">
        <f t="shared" ref="BQ259:BQ300" si="122">IF(D259="","",35)</f>
        <v/>
      </c>
      <c r="BR259" s="146"/>
      <c r="BS259" s="146"/>
      <c r="BT259" s="146"/>
      <c r="BU259" s="146"/>
      <c r="BV259" s="219" t="str">
        <f t="shared" ref="BV259:BV300" si="123">IF(A259="","",199)</f>
        <v/>
      </c>
      <c r="BW259" s="146"/>
      <c r="BX259" s="146"/>
      <c r="BY259" s="146" t="str">
        <f t="shared" ref="BY259:BY300" si="124">IF(D259="","",IF(C259="BuyToLet","No","No"))</f>
        <v/>
      </c>
      <c r="BZ259" s="146" t="str">
        <f t="shared" ref="BZ259:BZ300" si="125">IF(D259="","","No")</f>
        <v/>
      </c>
      <c r="CA259" s="146" t="str">
        <f t="shared" ref="CA259:CA300" si="126">IF(D259="","",IF(LEFT(B259,12)="Second Homes","Only Available","No"))</f>
        <v/>
      </c>
      <c r="CB259" s="146" t="str">
        <f t="shared" ref="CB259:CB300" si="127">IF(D259="","","No")</f>
        <v/>
      </c>
      <c r="CC259" s="146" t="str">
        <f>_xlfn.IFNA(IF(INDEX(Producer!$P:$P,MATCH($D259,Producer!$A:$A,0))="Help to Buy","Only available","No"),"")</f>
        <v/>
      </c>
      <c r="CD259" s="146" t="str">
        <f>_xlfn.IFNA(IF(INDEX(Producer!$P:$P,MATCH($D259,Producer!$A:$A,0))="Shared Ownership","Only available","No"),"")</f>
        <v/>
      </c>
      <c r="CE259" s="146" t="str">
        <f>_xlfn.IFNA(IF(INDEX(Producer!$P:$P,MATCH($D259,Producer!$A:$A,0))="Right to Buy","Only available","No"),"")</f>
        <v/>
      </c>
      <c r="CF259" s="146" t="str">
        <f t="shared" ref="CF259:CF300" si="128">IF(D259="","","No")</f>
        <v/>
      </c>
      <c r="CG259" s="146" t="str">
        <f>_xlfn.IFNA(IF(INDEX(Producer!$P:$P,MATCH($D259,Producer!$A:$A,0))="Retirement Interest Only","Only available","No"),"")</f>
        <v/>
      </c>
      <c r="CH259" s="146" t="str">
        <f t="shared" ref="CH259:CH300" si="129">IF(B259="","",IF(LEFT(B259,15)="Limited Company","Only available","No"))</f>
        <v/>
      </c>
      <c r="CI259" s="146" t="str">
        <f>_xlfn.IFNA(IF(INDEX(Producer!$P:$P,MATCH($D259,Producer!$A:$A,0))="Intermediary Holiday Let","Only available","No"),"")</f>
        <v/>
      </c>
      <c r="CJ259" s="146" t="str">
        <f t="shared" ref="CJ259:CJ300" si="130">IF(D259="","","No")</f>
        <v/>
      </c>
      <c r="CK259" s="146" t="str">
        <f>_xlfn.IFNA(IF(OR(INDEX(Producer!$P:$P,MATCH($D259,Producer!$A:$A,0))="Intermediary Small HMO",INDEX(Producer!$P:$P,MATCH($D259,Producer!$A:$A,0))="Intermediary Large HMO"),"Only available","No"),"")</f>
        <v/>
      </c>
      <c r="CL259" s="146" t="str">
        <f t="shared" ref="CL259:CL300" si="131">IF(D259="","",IF(AND(LEFT(B259,15)&lt;&gt;"Limited Company",C259="BuyToLet"),"Also available","No"))</f>
        <v/>
      </c>
      <c r="CM259" s="146" t="str">
        <f t="shared" ref="CM259:CM300" si="132">IF(B259="","",IF(LEFT(B259,26)="Intermediary Portfolio BTL","Only available",IF(OR(LEFT(B259,18)="Intermediary Large",LEFT(B259,18)="Intermediary Small",LEFT(B259,20)="Intermediary Holiday",LEFT(B259,15)="Limited Company"),"Also available","No")))</f>
        <v/>
      </c>
      <c r="CN259" s="146" t="str">
        <f t="shared" ref="CN259:CN300" si="133">IF(D259="","","No")</f>
        <v/>
      </c>
      <c r="CO259" s="146" t="str">
        <f t="shared" ref="CO259:CO300" si="134">IF(A259="","",IF(AND(C259="Residential",BK259&lt;95),"Also available",IF(AND(C259="BuyToLet",BK259&lt;80),"Also available","No")))</f>
        <v/>
      </c>
      <c r="CP259" s="146" t="str">
        <f t="shared" ref="CP259:CP300" si="135">IF(B259="","",IF(LEFT(B259,13)="Shared Equity","Only available","No"))</f>
        <v/>
      </c>
      <c r="CQ259" s="146" t="str">
        <f t="shared" ref="CQ259:CQ300" si="136">IF(B259="","","No")</f>
        <v/>
      </c>
      <c r="CR259" s="146" t="str">
        <f t="shared" ref="CR259:CR300" si="137">IF(B259="","",IF(IFERROR(FIND("Green",B259),-10)&gt;0,"Only available","Also available"))</f>
        <v/>
      </c>
      <c r="CS259" s="146" t="str">
        <f t="shared" ref="CS259:CS300" si="138">IF(B259="","","Only available")</f>
        <v/>
      </c>
      <c r="CT259" s="146" t="str">
        <f t="shared" ref="CT259:CT300" si="139">IF(B259="","","No")</f>
        <v/>
      </c>
      <c r="CU259" s="146"/>
    </row>
    <row r="260" spans="1:99" ht="16.399999999999999" customHeight="1" x14ac:dyDescent="0.35">
      <c r="A260" s="145" t="str">
        <f t="shared" si="112"/>
        <v/>
      </c>
      <c r="B260" s="145" t="str">
        <f>_xlfn.IFNA(_xlfn.CONCAT(INDEX(Producer!$P:$P,MATCH($D260,Producer!$A:$A,0))," ",IF(INDEX(Producer!$N:$N,MATCH($D260,Producer!$A:$A,0))="Yes","Green ",""),IF(AND(INDEX(Producer!$L:$L,MATCH($D260,Producer!$A:$A,0))="No",INDEX(Producer!$C:$C,MATCH($D260,Producer!$A:$A,0))="Fixed"),"Flexit ",""),INDEX(Producer!$B:$B,MATCH($D260,Producer!$A:$A,0))," Year ",INDEX(Producer!$C:$C,MATCH($D260,Producer!$A:$A,0))," ",VALUE(INDEX(Producer!$E:$E,MATCH($D260,Producer!$A:$A,0)))*100,"% LTV",IF(INDEX(Producer!$N:$N,MATCH($D260,Producer!$A:$A,0))="Yes"," (EPC A-C)","")," - ",IF(INDEX(Producer!$D:$D,MATCH($D260,Producer!$A:$A,0))="DLY","Daily","Annual")),"")</f>
        <v/>
      </c>
      <c r="C260" s="146" t="str">
        <f>_xlfn.IFNA(INDEX(Producer!$Q:$Q,MATCH($D260,Producer!$A:$A,0)),"")</f>
        <v/>
      </c>
      <c r="D260" s="146" t="str">
        <f>IFERROR(VALUE(MID(Producer!$R$2,IF($D259="",1/0,FIND(_xlfn.CONCAT($D258,$D259),Producer!$R$2)+10),5)),"")</f>
        <v/>
      </c>
      <c r="E260" s="146" t="str">
        <f t="shared" si="113"/>
        <v/>
      </c>
      <c r="F260" s="146"/>
      <c r="G260" s="147" t="str">
        <f>_xlfn.IFNA(VALUE(INDEX(Producer!$F:$F,MATCH($D260,Producer!$A:$A,0)))*100,"")</f>
        <v/>
      </c>
      <c r="H260" s="216" t="str">
        <f>_xlfn.IFNA(IFERROR(DATEVALUE(INDEX(Producer!$M:$M,MATCH($D260,Producer!$A:$A,0))),(INDEX(Producer!$M:$M,MATCH($D260,Producer!$A:$A,0)))),"")</f>
        <v/>
      </c>
      <c r="I260" s="217" t="str">
        <f>_xlfn.IFNA(VALUE(INDEX(Producer!$B:$B,MATCH($D260,Producer!$A:$A,0)))*12,"")</f>
        <v/>
      </c>
      <c r="J260" s="146" t="str">
        <f>_xlfn.IFNA(IF(C260="Residential",IF(VALUE(INDEX(Producer!$B:$B,MATCH($D260,Producer!$A:$A,0)))&lt;5,Constants!$C$10,""),IF(VALUE(INDEX(Producer!$B:$B,MATCH($D260,Producer!$A:$A,0)))&lt;5,Constants!$C$11,"")),"")</f>
        <v/>
      </c>
      <c r="K260" s="216" t="str">
        <f>_xlfn.IFNA(IF(($I260)&lt;60,DATE(YEAR(H260)+(5-VALUE(INDEX(Producer!$B:$B,MATCH($D260,Producer!$A:$A,0)))),MONTH(H260),DAY(H260)),""),"")</f>
        <v/>
      </c>
      <c r="L260" s="153" t="str">
        <f t="shared" si="114"/>
        <v/>
      </c>
      <c r="M260" s="146"/>
      <c r="N260" s="148"/>
      <c r="O260" s="148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  <c r="AB260" s="146"/>
      <c r="AC260" s="146"/>
      <c r="AD260" s="146"/>
      <c r="AE260" s="146"/>
      <c r="AF260" s="146"/>
      <c r="AG260" s="146"/>
      <c r="AH260" s="146"/>
      <c r="AI260" s="146"/>
      <c r="AJ260" s="146"/>
      <c r="AK260" s="146" t="str">
        <f>IF(D260="","",IF(C260="Residential",Constants!$B$10,Constants!$B$11))</f>
        <v/>
      </c>
      <c r="AL260" s="146" t="str">
        <f t="shared" si="115"/>
        <v/>
      </c>
      <c r="AM260" s="206" t="str">
        <f t="shared" si="116"/>
        <v/>
      </c>
      <c r="AN260" s="146" t="str">
        <f t="shared" si="117"/>
        <v/>
      </c>
      <c r="AO260" s="149" t="str">
        <f t="shared" si="118"/>
        <v/>
      </c>
      <c r="AP260" s="150" t="str">
        <f t="shared" si="119"/>
        <v/>
      </c>
      <c r="AQ260" s="146" t="str">
        <f>IFERROR(_xlfn.IFNA(IF($BA260="No",0,IF(INDEX(Constants!B:B,MATCH(($I260/12),Constants!$A:$A,0))=0,0,INDEX(Constants!B:B,MATCH(($I260/12),Constants!$A:$A,0)))),0),"")</f>
        <v/>
      </c>
      <c r="AR260" s="146" t="str">
        <f>IFERROR(_xlfn.IFNA(IF($BA260="No",0,IF(INDEX(Constants!C:C,MATCH(($I260/12),Constants!$A:$A,0))=0,0,INDEX(Constants!C:C,MATCH(($I260/12),Constants!$A:$A,0)))),0),"")</f>
        <v/>
      </c>
      <c r="AS260" s="146" t="str">
        <f>IFERROR(_xlfn.IFNA(IF($BA260="No",0,IF(INDEX(Constants!D:D,MATCH(($I260/12),Constants!$A:$A,0))=0,0,INDEX(Constants!D:D,MATCH(($I260/12),Constants!$A:$A,0)))),0),"")</f>
        <v/>
      </c>
      <c r="AT260" s="146" t="str">
        <f>IFERROR(_xlfn.IFNA(IF($BA260="No",0,IF(INDEX(Constants!E:E,MATCH(($I260/12),Constants!$A:$A,0))=0,0,INDEX(Constants!E:E,MATCH(($I260/12),Constants!$A:$A,0)))),0),"")</f>
        <v/>
      </c>
      <c r="AU260" s="146" t="str">
        <f>IFERROR(_xlfn.IFNA(IF($BA260="No",0,IF(INDEX(Constants!F:F,MATCH(($I260/12),Constants!$A:$A,0))=0,0,INDEX(Constants!F:F,MATCH(($I260/12),Constants!$A:$A,0)))),0),"")</f>
        <v/>
      </c>
      <c r="AV260" s="146" t="str">
        <f>IFERROR(_xlfn.IFNA(IF($BA260="No",0,IF(INDEX(Constants!G:G,MATCH(($I260/12),Constants!$A:$A,0))=0,0,INDEX(Constants!G:G,MATCH(($I260/12),Constants!$A:$A,0)))),0),"")</f>
        <v/>
      </c>
      <c r="AW260" s="146" t="str">
        <f>IFERROR(_xlfn.IFNA(IF($BA260="No",0,IF(INDEX(Constants!H:H,MATCH(($I260/12),Constants!$A:$A,0))=0,0,INDEX(Constants!H:H,MATCH(($I260/12),Constants!$A:$A,0)))),0),"")</f>
        <v/>
      </c>
      <c r="AX260" s="146" t="str">
        <f>IFERROR(_xlfn.IFNA(IF($BA260="No",0,IF(INDEX(Constants!I:I,MATCH(($I260/12),Constants!$A:$A,0))=0,0,INDEX(Constants!I:I,MATCH(($I260/12),Constants!$A:$A,0)))),0),"")</f>
        <v/>
      </c>
      <c r="AY260" s="146" t="str">
        <f>IFERROR(_xlfn.IFNA(IF($BA260="No",0,IF(INDEX(Constants!J:J,MATCH(($I260/12),Constants!$A:$A,0))=0,0,INDEX(Constants!J:J,MATCH(($I260/12),Constants!$A:$A,0)))),0),"")</f>
        <v/>
      </c>
      <c r="AZ260" s="146" t="str">
        <f>IFERROR(_xlfn.IFNA(IF($BA260="No",0,IF(INDEX(Constants!K:K,MATCH(($I260/12),Constants!$A:$A,0))=0,0,INDEX(Constants!K:K,MATCH(($I260/12),Constants!$A:$A,0)))),0),"")</f>
        <v/>
      </c>
      <c r="BA260" s="147" t="str">
        <f>_xlfn.IFNA(INDEX(Producer!$L:$L,MATCH($D260,Producer!$A:$A,0)),"")</f>
        <v/>
      </c>
      <c r="BB260" s="146" t="str">
        <f>IFERROR(IF(AQ260=0,"",IF(($I260/12)=15,_xlfn.CONCAT(Constants!$N$7,TEXT(DATE(YEAR(H260)-(($I260/12)-3),MONTH(H260),DAY(H260)),"dd/mm/yyyy"),", ",Constants!$P$7,TEXT(DATE(YEAR(H260)-(($I260/12)-8),MONTH(H260),DAY(H260)),"dd/mm/yyyy"),", ",Constants!$T$7,TEXT(DATE(YEAR(H260)-(($I260/12)-11),MONTH(H260),DAY(H260)),"dd/mm/yyyy"),", ",Constants!$V$7,TEXT(DATE(YEAR(H260)-(($I260/12)-13),MONTH(H260),DAY(H260)),"dd/mm/yyyy"),", ",Constants!$W$7,TEXT($H260,"dd/mm/yyyy")),IF(($I260/12)=10,_xlfn.CONCAT(Constants!$N$6,TEXT(DATE(YEAR(H260)-(($I260/12)-2),MONTH(H260),DAY(H260)),"dd/mm/yyyy"),", ",Constants!$P$6,TEXT(DATE(YEAR(H260)-(($I260/12)-6),MONTH(H260),DAY(H260)),"dd/mm/yyyy"),", ",Constants!$T$6,TEXT(DATE(YEAR(H260)-(($I260/12)-8),MONTH(H260),DAY(H260)),"dd/mm/yyyy"),", ",Constants!$V$6,TEXT(DATE(YEAR(H260)-(($I260/12)-9),MONTH(H260),DAY(H260)),"dd/mm/yyyy"),", ",Constants!$W$6,TEXT($H260,"dd/mm/yyyy")),IF(($I260/12)=5,_xlfn.CONCAT(Constants!$N$5,TEXT(DATE(YEAR(H260)-(($I260/12)-1),MONTH(H260),DAY(H260)),"dd/mm/yyyy"),", ",Constants!$O$5,TEXT(DATE(YEAR(H260)-(($I260/12)-2),MONTH(H260),DAY(H260)),"dd/mm/yyyy"),", ",Constants!$P$5,TEXT(DATE(YEAR(H260)-(($I260/12)-3),MONTH(H260),DAY(H260)),"dd/mm/yyyy"),", ",Constants!$Q$5,TEXT(DATE(YEAR(H260)-(($I260/12)-4),MONTH(H260),DAY(H260)),"dd/mm/yyyy"),", ",Constants!$R$5,TEXT($H260,"dd/mm/yyyy")),IF(($I260/12)=3,_xlfn.CONCAT(Constants!$N$4,TEXT(DATE(YEAR(H260)-(($I260/12)-1),MONTH(H260),DAY(H260)),"dd/mm/yyyy"),", ",Constants!$O$4,TEXT(DATE(YEAR(H260)-(($I260/12)-2),MONTH(H260),DAY(H260)),"dd/mm/yyyy"),", ",Constants!$P$4,TEXT($H260,"dd/mm/yyyy")),IF(($I260/12)=2,_xlfn.CONCAT(Constants!$N$3,TEXT(DATE(YEAR(H260)-(($I260/12)-1),MONTH(H260),DAY(H260)),"dd/mm/yyyy"),", ",Constants!$O$3,TEXT($H260,"dd/mm/yyyy")),IF(($I260/12)=1,_xlfn.CONCAT(Constants!$N$2,TEXT($H260,"dd/mm/yyyy")),"Update Constants"))))))),"")</f>
        <v/>
      </c>
      <c r="BC260" s="147" t="str">
        <f>_xlfn.IFNA(VALUE(INDEX(Producer!$K:$K,MATCH($D260,Producer!$A:$A,0))),"")</f>
        <v/>
      </c>
      <c r="BD260" s="147" t="str">
        <f>_xlfn.IFNA(INDEX(Producer!$I:$I,MATCH($D260,Producer!$A:$A,0)),"")</f>
        <v/>
      </c>
      <c r="BE260" s="147" t="str">
        <f t="shared" si="120"/>
        <v/>
      </c>
      <c r="BF260" s="147"/>
      <c r="BG260" s="147"/>
      <c r="BH260" s="151" t="str">
        <f>_xlfn.IFNA(INDEX(Constants!$B:$B,MATCH(BC260,Constants!A:A,0)),"")</f>
        <v/>
      </c>
      <c r="BI260" s="147" t="str">
        <f>IF(LEFT(B260,15)="Limited Company",Constants!$D$16,IFERROR(_xlfn.IFNA(IF(C260="Residential",IF(BK260&lt;75,INDEX(Constants!$B:$B,MATCH(VALUE(60)/100,Constants!$A:$A,0)),INDEX(Constants!$B:$B,MATCH(VALUE(BK260)/100,Constants!$A:$A,0))),IF(BK260&lt;60,INDEX(Constants!$C:$C,MATCH(VALUE(60)/100,Constants!$A:$A,0)),INDEX(Constants!$C:$C,MATCH(VALUE(BK260)/100,Constants!$A:$A,0)))),""),""))</f>
        <v/>
      </c>
      <c r="BJ260" s="147" t="str">
        <f t="shared" si="121"/>
        <v/>
      </c>
      <c r="BK260" s="147" t="str">
        <f>_xlfn.IFNA(VALUE(INDEX(Producer!$E:$E,MATCH($D260,Producer!$A:$A,0)))*100,"")</f>
        <v/>
      </c>
      <c r="BL260" s="146" t="str">
        <f>_xlfn.IFNA(IF(IFERROR(FIND("Part &amp; Part",B260),-10)&gt;0,"PP",IF(OR(LEFT(B260,25)="Residential Interest Only",INDEX(Producer!$P:$P,MATCH($D260,Producer!$A:$A,0))="IO",INDEX(Producer!$P:$P,MATCH($D260,Producer!$A:$A,0))="Retirement Interest Only"),"IO",IF($C260="BuyToLet","CI, IO","CI"))),"")</f>
        <v/>
      </c>
      <c r="BM260" s="152" t="str">
        <f>_xlfn.IFNA(IF(BL260="IO",100%,IF(AND(INDEX(Producer!$P:$P,MATCH($D260,Producer!$A:$A,0))="Residential Interest Only Part &amp; Part",BK260=75),80%,IF(C260="BuyToLet",100%,IF(BL260="Interest Only",100%,IF(AND(INDEX(Producer!$P:$P,MATCH($D260,Producer!$A:$A,0))="Residential Interest Only Part &amp; Part",BK260=60),100%,""))))),"")</f>
        <v/>
      </c>
      <c r="BN260" s="218" t="str">
        <f>_xlfn.IFNA(IF(VALUE(INDEX(Producer!$H:$H,MATCH($D260,Producer!$A:$A,0)))=0,"",VALUE(INDEX(Producer!$H:$H,MATCH($D260,Producer!$A:$A,0)))),"")</f>
        <v/>
      </c>
      <c r="BO260" s="153"/>
      <c r="BP260" s="153"/>
      <c r="BQ260" s="219" t="str">
        <f t="shared" si="122"/>
        <v/>
      </c>
      <c r="BR260" s="146"/>
      <c r="BS260" s="146"/>
      <c r="BT260" s="146"/>
      <c r="BU260" s="146"/>
      <c r="BV260" s="219" t="str">
        <f t="shared" si="123"/>
        <v/>
      </c>
      <c r="BW260" s="146"/>
      <c r="BX260" s="146"/>
      <c r="BY260" s="146" t="str">
        <f t="shared" si="124"/>
        <v/>
      </c>
      <c r="BZ260" s="146" t="str">
        <f t="shared" si="125"/>
        <v/>
      </c>
      <c r="CA260" s="146" t="str">
        <f t="shared" si="126"/>
        <v/>
      </c>
      <c r="CB260" s="146" t="str">
        <f t="shared" si="127"/>
        <v/>
      </c>
      <c r="CC260" s="146" t="str">
        <f>_xlfn.IFNA(IF(INDEX(Producer!$P:$P,MATCH($D260,Producer!$A:$A,0))="Help to Buy","Only available","No"),"")</f>
        <v/>
      </c>
      <c r="CD260" s="146" t="str">
        <f>_xlfn.IFNA(IF(INDEX(Producer!$P:$P,MATCH($D260,Producer!$A:$A,0))="Shared Ownership","Only available","No"),"")</f>
        <v/>
      </c>
      <c r="CE260" s="146" t="str">
        <f>_xlfn.IFNA(IF(INDEX(Producer!$P:$P,MATCH($D260,Producer!$A:$A,0))="Right to Buy","Only available","No"),"")</f>
        <v/>
      </c>
      <c r="CF260" s="146" t="str">
        <f t="shared" si="128"/>
        <v/>
      </c>
      <c r="CG260" s="146" t="str">
        <f>_xlfn.IFNA(IF(INDEX(Producer!$P:$P,MATCH($D260,Producer!$A:$A,0))="Retirement Interest Only","Only available","No"),"")</f>
        <v/>
      </c>
      <c r="CH260" s="146" t="str">
        <f t="shared" si="129"/>
        <v/>
      </c>
      <c r="CI260" s="146" t="str">
        <f>_xlfn.IFNA(IF(INDEX(Producer!$P:$P,MATCH($D260,Producer!$A:$A,0))="Intermediary Holiday Let","Only available","No"),"")</f>
        <v/>
      </c>
      <c r="CJ260" s="146" t="str">
        <f t="shared" si="130"/>
        <v/>
      </c>
      <c r="CK260" s="146" t="str">
        <f>_xlfn.IFNA(IF(OR(INDEX(Producer!$P:$P,MATCH($D260,Producer!$A:$A,0))="Intermediary Small HMO",INDEX(Producer!$P:$P,MATCH($D260,Producer!$A:$A,0))="Intermediary Large HMO"),"Only available","No"),"")</f>
        <v/>
      </c>
      <c r="CL260" s="146" t="str">
        <f t="shared" si="131"/>
        <v/>
      </c>
      <c r="CM260" s="146" t="str">
        <f t="shared" si="132"/>
        <v/>
      </c>
      <c r="CN260" s="146" t="str">
        <f t="shared" si="133"/>
        <v/>
      </c>
      <c r="CO260" s="146" t="str">
        <f t="shared" si="134"/>
        <v/>
      </c>
      <c r="CP260" s="146" t="str">
        <f t="shared" si="135"/>
        <v/>
      </c>
      <c r="CQ260" s="146" t="str">
        <f t="shared" si="136"/>
        <v/>
      </c>
      <c r="CR260" s="146" t="str">
        <f t="shared" si="137"/>
        <v/>
      </c>
      <c r="CS260" s="146" t="str">
        <f t="shared" si="138"/>
        <v/>
      </c>
      <c r="CT260" s="146" t="str">
        <f t="shared" si="139"/>
        <v/>
      </c>
      <c r="CU260" s="146"/>
    </row>
    <row r="261" spans="1:99" ht="16.399999999999999" customHeight="1" x14ac:dyDescent="0.35">
      <c r="A261" s="145" t="str">
        <f t="shared" si="112"/>
        <v/>
      </c>
      <c r="B261" s="145" t="str">
        <f>_xlfn.IFNA(_xlfn.CONCAT(INDEX(Producer!$P:$P,MATCH($D261,Producer!$A:$A,0))," ",IF(INDEX(Producer!$N:$N,MATCH($D261,Producer!$A:$A,0))="Yes","Green ",""),IF(AND(INDEX(Producer!$L:$L,MATCH($D261,Producer!$A:$A,0))="No",INDEX(Producer!$C:$C,MATCH($D261,Producer!$A:$A,0))="Fixed"),"Flexit ",""),INDEX(Producer!$B:$B,MATCH($D261,Producer!$A:$A,0))," Year ",INDEX(Producer!$C:$C,MATCH($D261,Producer!$A:$A,0))," ",VALUE(INDEX(Producer!$E:$E,MATCH($D261,Producer!$A:$A,0)))*100,"% LTV",IF(INDEX(Producer!$N:$N,MATCH($D261,Producer!$A:$A,0))="Yes"," (EPC A-C)","")," - ",IF(INDEX(Producer!$D:$D,MATCH($D261,Producer!$A:$A,0))="DLY","Daily","Annual")),"")</f>
        <v/>
      </c>
      <c r="C261" s="146" t="str">
        <f>_xlfn.IFNA(INDEX(Producer!$Q:$Q,MATCH($D261,Producer!$A:$A,0)),"")</f>
        <v/>
      </c>
      <c r="D261" s="146" t="str">
        <f>IFERROR(VALUE(MID(Producer!$R$2,IF($D260="",1/0,FIND(_xlfn.CONCAT($D259,$D260),Producer!$R$2)+10),5)),"")</f>
        <v/>
      </c>
      <c r="E261" s="146" t="str">
        <f t="shared" si="113"/>
        <v/>
      </c>
      <c r="F261" s="146"/>
      <c r="G261" s="147" t="str">
        <f>_xlfn.IFNA(VALUE(INDEX(Producer!$F:$F,MATCH($D261,Producer!$A:$A,0)))*100,"")</f>
        <v/>
      </c>
      <c r="H261" s="216" t="str">
        <f>_xlfn.IFNA(IFERROR(DATEVALUE(INDEX(Producer!$M:$M,MATCH($D261,Producer!$A:$A,0))),(INDEX(Producer!$M:$M,MATCH($D261,Producer!$A:$A,0)))),"")</f>
        <v/>
      </c>
      <c r="I261" s="217" t="str">
        <f>_xlfn.IFNA(VALUE(INDEX(Producer!$B:$B,MATCH($D261,Producer!$A:$A,0)))*12,"")</f>
        <v/>
      </c>
      <c r="J261" s="146" t="str">
        <f>_xlfn.IFNA(IF(C261="Residential",IF(VALUE(INDEX(Producer!$B:$B,MATCH($D261,Producer!$A:$A,0)))&lt;5,Constants!$C$10,""),IF(VALUE(INDEX(Producer!$B:$B,MATCH($D261,Producer!$A:$A,0)))&lt;5,Constants!$C$11,"")),"")</f>
        <v/>
      </c>
      <c r="K261" s="216" t="str">
        <f>_xlfn.IFNA(IF(($I261)&lt;60,DATE(YEAR(H261)+(5-VALUE(INDEX(Producer!$B:$B,MATCH($D261,Producer!$A:$A,0)))),MONTH(H261),DAY(H261)),""),"")</f>
        <v/>
      </c>
      <c r="L261" s="153" t="str">
        <f t="shared" si="114"/>
        <v/>
      </c>
      <c r="M261" s="146"/>
      <c r="N261" s="148"/>
      <c r="O261" s="148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  <c r="AA261" s="146"/>
      <c r="AB261" s="146"/>
      <c r="AC261" s="146"/>
      <c r="AD261" s="146"/>
      <c r="AE261" s="146"/>
      <c r="AF261" s="146"/>
      <c r="AG261" s="146"/>
      <c r="AH261" s="146"/>
      <c r="AI261" s="146"/>
      <c r="AJ261" s="146"/>
      <c r="AK261" s="146" t="str">
        <f>IF(D261="","",IF(C261="Residential",Constants!$B$10,Constants!$B$11))</f>
        <v/>
      </c>
      <c r="AL261" s="146" t="str">
        <f t="shared" si="115"/>
        <v/>
      </c>
      <c r="AM261" s="206" t="str">
        <f t="shared" si="116"/>
        <v/>
      </c>
      <c r="AN261" s="146" t="str">
        <f t="shared" si="117"/>
        <v/>
      </c>
      <c r="AO261" s="149" t="str">
        <f t="shared" si="118"/>
        <v/>
      </c>
      <c r="AP261" s="150" t="str">
        <f t="shared" si="119"/>
        <v/>
      </c>
      <c r="AQ261" s="146" t="str">
        <f>IFERROR(_xlfn.IFNA(IF($BA261="No",0,IF(INDEX(Constants!B:B,MATCH(($I261/12),Constants!$A:$A,0))=0,0,INDEX(Constants!B:B,MATCH(($I261/12),Constants!$A:$A,0)))),0),"")</f>
        <v/>
      </c>
      <c r="AR261" s="146" t="str">
        <f>IFERROR(_xlfn.IFNA(IF($BA261="No",0,IF(INDEX(Constants!C:C,MATCH(($I261/12),Constants!$A:$A,0))=0,0,INDEX(Constants!C:C,MATCH(($I261/12),Constants!$A:$A,0)))),0),"")</f>
        <v/>
      </c>
      <c r="AS261" s="146" t="str">
        <f>IFERROR(_xlfn.IFNA(IF($BA261="No",0,IF(INDEX(Constants!D:D,MATCH(($I261/12),Constants!$A:$A,0))=0,0,INDEX(Constants!D:D,MATCH(($I261/12),Constants!$A:$A,0)))),0),"")</f>
        <v/>
      </c>
      <c r="AT261" s="146" t="str">
        <f>IFERROR(_xlfn.IFNA(IF($BA261="No",0,IF(INDEX(Constants!E:E,MATCH(($I261/12),Constants!$A:$A,0))=0,0,INDEX(Constants!E:E,MATCH(($I261/12),Constants!$A:$A,0)))),0),"")</f>
        <v/>
      </c>
      <c r="AU261" s="146" t="str">
        <f>IFERROR(_xlfn.IFNA(IF($BA261="No",0,IF(INDEX(Constants!F:F,MATCH(($I261/12),Constants!$A:$A,0))=0,0,INDEX(Constants!F:F,MATCH(($I261/12),Constants!$A:$A,0)))),0),"")</f>
        <v/>
      </c>
      <c r="AV261" s="146" t="str">
        <f>IFERROR(_xlfn.IFNA(IF($BA261="No",0,IF(INDEX(Constants!G:G,MATCH(($I261/12),Constants!$A:$A,0))=0,0,INDEX(Constants!G:G,MATCH(($I261/12),Constants!$A:$A,0)))),0),"")</f>
        <v/>
      </c>
      <c r="AW261" s="146" t="str">
        <f>IFERROR(_xlfn.IFNA(IF($BA261="No",0,IF(INDEX(Constants!H:H,MATCH(($I261/12),Constants!$A:$A,0))=0,0,INDEX(Constants!H:H,MATCH(($I261/12),Constants!$A:$A,0)))),0),"")</f>
        <v/>
      </c>
      <c r="AX261" s="146" t="str">
        <f>IFERROR(_xlfn.IFNA(IF($BA261="No",0,IF(INDEX(Constants!I:I,MATCH(($I261/12),Constants!$A:$A,0))=0,0,INDEX(Constants!I:I,MATCH(($I261/12),Constants!$A:$A,0)))),0),"")</f>
        <v/>
      </c>
      <c r="AY261" s="146" t="str">
        <f>IFERROR(_xlfn.IFNA(IF($BA261="No",0,IF(INDEX(Constants!J:J,MATCH(($I261/12),Constants!$A:$A,0))=0,0,INDEX(Constants!J:J,MATCH(($I261/12),Constants!$A:$A,0)))),0),"")</f>
        <v/>
      </c>
      <c r="AZ261" s="146" t="str">
        <f>IFERROR(_xlfn.IFNA(IF($BA261="No",0,IF(INDEX(Constants!K:K,MATCH(($I261/12),Constants!$A:$A,0))=0,0,INDEX(Constants!K:K,MATCH(($I261/12),Constants!$A:$A,0)))),0),"")</f>
        <v/>
      </c>
      <c r="BA261" s="147" t="str">
        <f>_xlfn.IFNA(INDEX(Producer!$L:$L,MATCH($D261,Producer!$A:$A,0)),"")</f>
        <v/>
      </c>
      <c r="BB261" s="146" t="str">
        <f>IFERROR(IF(AQ261=0,"",IF(($I261/12)=15,_xlfn.CONCAT(Constants!$N$7,TEXT(DATE(YEAR(H261)-(($I261/12)-3),MONTH(H261),DAY(H261)),"dd/mm/yyyy"),", ",Constants!$P$7,TEXT(DATE(YEAR(H261)-(($I261/12)-8),MONTH(H261),DAY(H261)),"dd/mm/yyyy"),", ",Constants!$T$7,TEXT(DATE(YEAR(H261)-(($I261/12)-11),MONTH(H261),DAY(H261)),"dd/mm/yyyy"),", ",Constants!$V$7,TEXT(DATE(YEAR(H261)-(($I261/12)-13),MONTH(H261),DAY(H261)),"dd/mm/yyyy"),", ",Constants!$W$7,TEXT($H261,"dd/mm/yyyy")),IF(($I261/12)=10,_xlfn.CONCAT(Constants!$N$6,TEXT(DATE(YEAR(H261)-(($I261/12)-2),MONTH(H261),DAY(H261)),"dd/mm/yyyy"),", ",Constants!$P$6,TEXT(DATE(YEAR(H261)-(($I261/12)-6),MONTH(H261),DAY(H261)),"dd/mm/yyyy"),", ",Constants!$T$6,TEXT(DATE(YEAR(H261)-(($I261/12)-8),MONTH(H261),DAY(H261)),"dd/mm/yyyy"),", ",Constants!$V$6,TEXT(DATE(YEAR(H261)-(($I261/12)-9),MONTH(H261),DAY(H261)),"dd/mm/yyyy"),", ",Constants!$W$6,TEXT($H261,"dd/mm/yyyy")),IF(($I261/12)=5,_xlfn.CONCAT(Constants!$N$5,TEXT(DATE(YEAR(H261)-(($I261/12)-1),MONTH(H261),DAY(H261)),"dd/mm/yyyy"),", ",Constants!$O$5,TEXT(DATE(YEAR(H261)-(($I261/12)-2),MONTH(H261),DAY(H261)),"dd/mm/yyyy"),", ",Constants!$P$5,TEXT(DATE(YEAR(H261)-(($I261/12)-3),MONTH(H261),DAY(H261)),"dd/mm/yyyy"),", ",Constants!$Q$5,TEXT(DATE(YEAR(H261)-(($I261/12)-4),MONTH(H261),DAY(H261)),"dd/mm/yyyy"),", ",Constants!$R$5,TEXT($H261,"dd/mm/yyyy")),IF(($I261/12)=3,_xlfn.CONCAT(Constants!$N$4,TEXT(DATE(YEAR(H261)-(($I261/12)-1),MONTH(H261),DAY(H261)),"dd/mm/yyyy"),", ",Constants!$O$4,TEXT(DATE(YEAR(H261)-(($I261/12)-2),MONTH(H261),DAY(H261)),"dd/mm/yyyy"),", ",Constants!$P$4,TEXT($H261,"dd/mm/yyyy")),IF(($I261/12)=2,_xlfn.CONCAT(Constants!$N$3,TEXT(DATE(YEAR(H261)-(($I261/12)-1),MONTH(H261),DAY(H261)),"dd/mm/yyyy"),", ",Constants!$O$3,TEXT($H261,"dd/mm/yyyy")),IF(($I261/12)=1,_xlfn.CONCAT(Constants!$N$2,TEXT($H261,"dd/mm/yyyy")),"Update Constants"))))))),"")</f>
        <v/>
      </c>
      <c r="BC261" s="147" t="str">
        <f>_xlfn.IFNA(VALUE(INDEX(Producer!$K:$K,MATCH($D261,Producer!$A:$A,0))),"")</f>
        <v/>
      </c>
      <c r="BD261" s="147" t="str">
        <f>_xlfn.IFNA(INDEX(Producer!$I:$I,MATCH($D261,Producer!$A:$A,0)),"")</f>
        <v/>
      </c>
      <c r="BE261" s="147" t="str">
        <f t="shared" si="120"/>
        <v/>
      </c>
      <c r="BF261" s="147"/>
      <c r="BG261" s="147"/>
      <c r="BH261" s="151" t="str">
        <f>_xlfn.IFNA(INDEX(Constants!$B:$B,MATCH(BC261,Constants!A:A,0)),"")</f>
        <v/>
      </c>
      <c r="BI261" s="147" t="str">
        <f>IF(LEFT(B261,15)="Limited Company",Constants!$D$16,IFERROR(_xlfn.IFNA(IF(C261="Residential",IF(BK261&lt;75,INDEX(Constants!$B:$B,MATCH(VALUE(60)/100,Constants!$A:$A,0)),INDEX(Constants!$B:$B,MATCH(VALUE(BK261)/100,Constants!$A:$A,0))),IF(BK261&lt;60,INDEX(Constants!$C:$C,MATCH(VALUE(60)/100,Constants!$A:$A,0)),INDEX(Constants!$C:$C,MATCH(VALUE(BK261)/100,Constants!$A:$A,0)))),""),""))</f>
        <v/>
      </c>
      <c r="BJ261" s="147" t="str">
        <f t="shared" si="121"/>
        <v/>
      </c>
      <c r="BK261" s="147" t="str">
        <f>_xlfn.IFNA(VALUE(INDEX(Producer!$E:$E,MATCH($D261,Producer!$A:$A,0)))*100,"")</f>
        <v/>
      </c>
      <c r="BL261" s="146" t="str">
        <f>_xlfn.IFNA(IF(IFERROR(FIND("Part &amp; Part",B261),-10)&gt;0,"PP",IF(OR(LEFT(B261,25)="Residential Interest Only",INDEX(Producer!$P:$P,MATCH($D261,Producer!$A:$A,0))="IO",INDEX(Producer!$P:$P,MATCH($D261,Producer!$A:$A,0))="Retirement Interest Only"),"IO",IF($C261="BuyToLet","CI, IO","CI"))),"")</f>
        <v/>
      </c>
      <c r="BM261" s="152" t="str">
        <f>_xlfn.IFNA(IF(BL261="IO",100%,IF(AND(INDEX(Producer!$P:$P,MATCH($D261,Producer!$A:$A,0))="Residential Interest Only Part &amp; Part",BK261=75),80%,IF(C261="BuyToLet",100%,IF(BL261="Interest Only",100%,IF(AND(INDEX(Producer!$P:$P,MATCH($D261,Producer!$A:$A,0))="Residential Interest Only Part &amp; Part",BK261=60),100%,""))))),"")</f>
        <v/>
      </c>
      <c r="BN261" s="218" t="str">
        <f>_xlfn.IFNA(IF(VALUE(INDEX(Producer!$H:$H,MATCH($D261,Producer!$A:$A,0)))=0,"",VALUE(INDEX(Producer!$H:$H,MATCH($D261,Producer!$A:$A,0)))),"")</f>
        <v/>
      </c>
      <c r="BO261" s="153"/>
      <c r="BP261" s="153"/>
      <c r="BQ261" s="219" t="str">
        <f t="shared" si="122"/>
        <v/>
      </c>
      <c r="BR261" s="146"/>
      <c r="BS261" s="146"/>
      <c r="BT261" s="146"/>
      <c r="BU261" s="146"/>
      <c r="BV261" s="219" t="str">
        <f t="shared" si="123"/>
        <v/>
      </c>
      <c r="BW261" s="146"/>
      <c r="BX261" s="146"/>
      <c r="BY261" s="146" t="str">
        <f t="shared" si="124"/>
        <v/>
      </c>
      <c r="BZ261" s="146" t="str">
        <f t="shared" si="125"/>
        <v/>
      </c>
      <c r="CA261" s="146" t="str">
        <f t="shared" si="126"/>
        <v/>
      </c>
      <c r="CB261" s="146" t="str">
        <f t="shared" si="127"/>
        <v/>
      </c>
      <c r="CC261" s="146" t="str">
        <f>_xlfn.IFNA(IF(INDEX(Producer!$P:$P,MATCH($D261,Producer!$A:$A,0))="Help to Buy","Only available","No"),"")</f>
        <v/>
      </c>
      <c r="CD261" s="146" t="str">
        <f>_xlfn.IFNA(IF(INDEX(Producer!$P:$P,MATCH($D261,Producer!$A:$A,0))="Shared Ownership","Only available","No"),"")</f>
        <v/>
      </c>
      <c r="CE261" s="146" t="str">
        <f>_xlfn.IFNA(IF(INDEX(Producer!$P:$P,MATCH($D261,Producer!$A:$A,0))="Right to Buy","Only available","No"),"")</f>
        <v/>
      </c>
      <c r="CF261" s="146" t="str">
        <f t="shared" si="128"/>
        <v/>
      </c>
      <c r="CG261" s="146" t="str">
        <f>_xlfn.IFNA(IF(INDEX(Producer!$P:$P,MATCH($D261,Producer!$A:$A,0))="Retirement Interest Only","Only available","No"),"")</f>
        <v/>
      </c>
      <c r="CH261" s="146" t="str">
        <f t="shared" si="129"/>
        <v/>
      </c>
      <c r="CI261" s="146" t="str">
        <f>_xlfn.IFNA(IF(INDEX(Producer!$P:$P,MATCH($D261,Producer!$A:$A,0))="Intermediary Holiday Let","Only available","No"),"")</f>
        <v/>
      </c>
      <c r="CJ261" s="146" t="str">
        <f t="shared" si="130"/>
        <v/>
      </c>
      <c r="CK261" s="146" t="str">
        <f>_xlfn.IFNA(IF(OR(INDEX(Producer!$P:$P,MATCH($D261,Producer!$A:$A,0))="Intermediary Small HMO",INDEX(Producer!$P:$P,MATCH($D261,Producer!$A:$A,0))="Intermediary Large HMO"),"Only available","No"),"")</f>
        <v/>
      </c>
      <c r="CL261" s="146" t="str">
        <f t="shared" si="131"/>
        <v/>
      </c>
      <c r="CM261" s="146" t="str">
        <f t="shared" si="132"/>
        <v/>
      </c>
      <c r="CN261" s="146" t="str">
        <f t="shared" si="133"/>
        <v/>
      </c>
      <c r="CO261" s="146" t="str">
        <f t="shared" si="134"/>
        <v/>
      </c>
      <c r="CP261" s="146" t="str">
        <f t="shared" si="135"/>
        <v/>
      </c>
      <c r="CQ261" s="146" t="str">
        <f t="shared" si="136"/>
        <v/>
      </c>
      <c r="CR261" s="146" t="str">
        <f t="shared" si="137"/>
        <v/>
      </c>
      <c r="CS261" s="146" t="str">
        <f t="shared" si="138"/>
        <v/>
      </c>
      <c r="CT261" s="146" t="str">
        <f t="shared" si="139"/>
        <v/>
      </c>
      <c r="CU261" s="146"/>
    </row>
    <row r="262" spans="1:99" ht="16.399999999999999" customHeight="1" x14ac:dyDescent="0.35">
      <c r="A262" s="145" t="str">
        <f t="shared" si="112"/>
        <v/>
      </c>
      <c r="B262" s="145" t="str">
        <f>_xlfn.IFNA(_xlfn.CONCAT(INDEX(Producer!$P:$P,MATCH($D262,Producer!$A:$A,0))," ",IF(INDEX(Producer!$N:$N,MATCH($D262,Producer!$A:$A,0))="Yes","Green ",""),IF(AND(INDEX(Producer!$L:$L,MATCH($D262,Producer!$A:$A,0))="No",INDEX(Producer!$C:$C,MATCH($D262,Producer!$A:$A,0))="Fixed"),"Flexit ",""),INDEX(Producer!$B:$B,MATCH($D262,Producer!$A:$A,0))," Year ",INDEX(Producer!$C:$C,MATCH($D262,Producer!$A:$A,0))," ",VALUE(INDEX(Producer!$E:$E,MATCH($D262,Producer!$A:$A,0)))*100,"% LTV",IF(INDEX(Producer!$N:$N,MATCH($D262,Producer!$A:$A,0))="Yes"," (EPC A-C)","")," - ",IF(INDEX(Producer!$D:$D,MATCH($D262,Producer!$A:$A,0))="DLY","Daily","Annual")),"")</f>
        <v/>
      </c>
      <c r="C262" s="146" t="str">
        <f>_xlfn.IFNA(INDEX(Producer!$Q:$Q,MATCH($D262,Producer!$A:$A,0)),"")</f>
        <v/>
      </c>
      <c r="D262" s="146" t="str">
        <f>IFERROR(VALUE(MID(Producer!$R$2,IF($D261="",1/0,FIND(_xlfn.CONCAT($D260,$D261),Producer!$R$2)+10),5)),"")</f>
        <v/>
      </c>
      <c r="E262" s="146" t="str">
        <f t="shared" si="113"/>
        <v/>
      </c>
      <c r="F262" s="146"/>
      <c r="G262" s="147" t="str">
        <f>_xlfn.IFNA(VALUE(INDEX(Producer!$F:$F,MATCH($D262,Producer!$A:$A,0)))*100,"")</f>
        <v/>
      </c>
      <c r="H262" s="216" t="str">
        <f>_xlfn.IFNA(IFERROR(DATEVALUE(INDEX(Producer!$M:$M,MATCH($D262,Producer!$A:$A,0))),(INDEX(Producer!$M:$M,MATCH($D262,Producer!$A:$A,0)))),"")</f>
        <v/>
      </c>
      <c r="I262" s="217" t="str">
        <f>_xlfn.IFNA(VALUE(INDEX(Producer!$B:$B,MATCH($D262,Producer!$A:$A,0)))*12,"")</f>
        <v/>
      </c>
      <c r="J262" s="146" t="str">
        <f>_xlfn.IFNA(IF(C262="Residential",IF(VALUE(INDEX(Producer!$B:$B,MATCH($D262,Producer!$A:$A,0)))&lt;5,Constants!$C$10,""),IF(VALUE(INDEX(Producer!$B:$B,MATCH($D262,Producer!$A:$A,0)))&lt;5,Constants!$C$11,"")),"")</f>
        <v/>
      </c>
      <c r="K262" s="216" t="str">
        <f>_xlfn.IFNA(IF(($I262)&lt;60,DATE(YEAR(H262)+(5-VALUE(INDEX(Producer!$B:$B,MATCH($D262,Producer!$A:$A,0)))),MONTH(H262),DAY(H262)),""),"")</f>
        <v/>
      </c>
      <c r="L262" s="153" t="str">
        <f t="shared" si="114"/>
        <v/>
      </c>
      <c r="M262" s="146"/>
      <c r="N262" s="148"/>
      <c r="O262" s="148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  <c r="AA262" s="146"/>
      <c r="AB262" s="146"/>
      <c r="AC262" s="146"/>
      <c r="AD262" s="146"/>
      <c r="AE262" s="146"/>
      <c r="AF262" s="146"/>
      <c r="AG262" s="146"/>
      <c r="AH262" s="146"/>
      <c r="AI262" s="146"/>
      <c r="AJ262" s="146"/>
      <c r="AK262" s="146" t="str">
        <f>IF(D262="","",IF(C262="Residential",Constants!$B$10,Constants!$B$11))</f>
        <v/>
      </c>
      <c r="AL262" s="146" t="str">
        <f t="shared" si="115"/>
        <v/>
      </c>
      <c r="AM262" s="206" t="str">
        <f t="shared" si="116"/>
        <v/>
      </c>
      <c r="AN262" s="146" t="str">
        <f t="shared" si="117"/>
        <v/>
      </c>
      <c r="AO262" s="149" t="str">
        <f t="shared" si="118"/>
        <v/>
      </c>
      <c r="AP262" s="150" t="str">
        <f t="shared" si="119"/>
        <v/>
      </c>
      <c r="AQ262" s="146" t="str">
        <f>IFERROR(_xlfn.IFNA(IF($BA262="No",0,IF(INDEX(Constants!B:B,MATCH(($I262/12),Constants!$A:$A,0))=0,0,INDEX(Constants!B:B,MATCH(($I262/12),Constants!$A:$A,0)))),0),"")</f>
        <v/>
      </c>
      <c r="AR262" s="146" t="str">
        <f>IFERROR(_xlfn.IFNA(IF($BA262="No",0,IF(INDEX(Constants!C:C,MATCH(($I262/12),Constants!$A:$A,0))=0,0,INDEX(Constants!C:C,MATCH(($I262/12),Constants!$A:$A,0)))),0),"")</f>
        <v/>
      </c>
      <c r="AS262" s="146" t="str">
        <f>IFERROR(_xlfn.IFNA(IF($BA262="No",0,IF(INDEX(Constants!D:D,MATCH(($I262/12),Constants!$A:$A,0))=0,0,INDEX(Constants!D:D,MATCH(($I262/12),Constants!$A:$A,0)))),0),"")</f>
        <v/>
      </c>
      <c r="AT262" s="146" t="str">
        <f>IFERROR(_xlfn.IFNA(IF($BA262="No",0,IF(INDEX(Constants!E:E,MATCH(($I262/12),Constants!$A:$A,0))=0,0,INDEX(Constants!E:E,MATCH(($I262/12),Constants!$A:$A,0)))),0),"")</f>
        <v/>
      </c>
      <c r="AU262" s="146" t="str">
        <f>IFERROR(_xlfn.IFNA(IF($BA262="No",0,IF(INDEX(Constants!F:F,MATCH(($I262/12),Constants!$A:$A,0))=0,0,INDEX(Constants!F:F,MATCH(($I262/12),Constants!$A:$A,0)))),0),"")</f>
        <v/>
      </c>
      <c r="AV262" s="146" t="str">
        <f>IFERROR(_xlfn.IFNA(IF($BA262="No",0,IF(INDEX(Constants!G:G,MATCH(($I262/12),Constants!$A:$A,0))=0,0,INDEX(Constants!G:G,MATCH(($I262/12),Constants!$A:$A,0)))),0),"")</f>
        <v/>
      </c>
      <c r="AW262" s="146" t="str">
        <f>IFERROR(_xlfn.IFNA(IF($BA262="No",0,IF(INDEX(Constants!H:H,MATCH(($I262/12),Constants!$A:$A,0))=0,0,INDEX(Constants!H:H,MATCH(($I262/12),Constants!$A:$A,0)))),0),"")</f>
        <v/>
      </c>
      <c r="AX262" s="146" t="str">
        <f>IFERROR(_xlfn.IFNA(IF($BA262="No",0,IF(INDEX(Constants!I:I,MATCH(($I262/12),Constants!$A:$A,0))=0,0,INDEX(Constants!I:I,MATCH(($I262/12),Constants!$A:$A,0)))),0),"")</f>
        <v/>
      </c>
      <c r="AY262" s="146" t="str">
        <f>IFERROR(_xlfn.IFNA(IF($BA262="No",0,IF(INDEX(Constants!J:J,MATCH(($I262/12),Constants!$A:$A,0))=0,0,INDEX(Constants!J:J,MATCH(($I262/12),Constants!$A:$A,0)))),0),"")</f>
        <v/>
      </c>
      <c r="AZ262" s="146" t="str">
        <f>IFERROR(_xlfn.IFNA(IF($BA262="No",0,IF(INDEX(Constants!K:K,MATCH(($I262/12),Constants!$A:$A,0))=0,0,INDEX(Constants!K:K,MATCH(($I262/12),Constants!$A:$A,0)))),0),"")</f>
        <v/>
      </c>
      <c r="BA262" s="147" t="str">
        <f>_xlfn.IFNA(INDEX(Producer!$L:$L,MATCH($D262,Producer!$A:$A,0)),"")</f>
        <v/>
      </c>
      <c r="BB262" s="146" t="str">
        <f>IFERROR(IF(AQ262=0,"",IF(($I262/12)=15,_xlfn.CONCAT(Constants!$N$7,TEXT(DATE(YEAR(H262)-(($I262/12)-3),MONTH(H262),DAY(H262)),"dd/mm/yyyy"),", ",Constants!$P$7,TEXT(DATE(YEAR(H262)-(($I262/12)-8),MONTH(H262),DAY(H262)),"dd/mm/yyyy"),", ",Constants!$T$7,TEXT(DATE(YEAR(H262)-(($I262/12)-11),MONTH(H262),DAY(H262)),"dd/mm/yyyy"),", ",Constants!$V$7,TEXT(DATE(YEAR(H262)-(($I262/12)-13),MONTH(H262),DAY(H262)),"dd/mm/yyyy"),", ",Constants!$W$7,TEXT($H262,"dd/mm/yyyy")),IF(($I262/12)=10,_xlfn.CONCAT(Constants!$N$6,TEXT(DATE(YEAR(H262)-(($I262/12)-2),MONTH(H262),DAY(H262)),"dd/mm/yyyy"),", ",Constants!$P$6,TEXT(DATE(YEAR(H262)-(($I262/12)-6),MONTH(H262),DAY(H262)),"dd/mm/yyyy"),", ",Constants!$T$6,TEXT(DATE(YEAR(H262)-(($I262/12)-8),MONTH(H262),DAY(H262)),"dd/mm/yyyy"),", ",Constants!$V$6,TEXT(DATE(YEAR(H262)-(($I262/12)-9),MONTH(H262),DAY(H262)),"dd/mm/yyyy"),", ",Constants!$W$6,TEXT($H262,"dd/mm/yyyy")),IF(($I262/12)=5,_xlfn.CONCAT(Constants!$N$5,TEXT(DATE(YEAR(H262)-(($I262/12)-1),MONTH(H262),DAY(H262)),"dd/mm/yyyy"),", ",Constants!$O$5,TEXT(DATE(YEAR(H262)-(($I262/12)-2),MONTH(H262),DAY(H262)),"dd/mm/yyyy"),", ",Constants!$P$5,TEXT(DATE(YEAR(H262)-(($I262/12)-3),MONTH(H262),DAY(H262)),"dd/mm/yyyy"),", ",Constants!$Q$5,TEXT(DATE(YEAR(H262)-(($I262/12)-4),MONTH(H262),DAY(H262)),"dd/mm/yyyy"),", ",Constants!$R$5,TEXT($H262,"dd/mm/yyyy")),IF(($I262/12)=3,_xlfn.CONCAT(Constants!$N$4,TEXT(DATE(YEAR(H262)-(($I262/12)-1),MONTH(H262),DAY(H262)),"dd/mm/yyyy"),", ",Constants!$O$4,TEXT(DATE(YEAR(H262)-(($I262/12)-2),MONTH(H262),DAY(H262)),"dd/mm/yyyy"),", ",Constants!$P$4,TEXT($H262,"dd/mm/yyyy")),IF(($I262/12)=2,_xlfn.CONCAT(Constants!$N$3,TEXT(DATE(YEAR(H262)-(($I262/12)-1),MONTH(H262),DAY(H262)),"dd/mm/yyyy"),", ",Constants!$O$3,TEXT($H262,"dd/mm/yyyy")),IF(($I262/12)=1,_xlfn.CONCAT(Constants!$N$2,TEXT($H262,"dd/mm/yyyy")),"Update Constants"))))))),"")</f>
        <v/>
      </c>
      <c r="BC262" s="147" t="str">
        <f>_xlfn.IFNA(VALUE(INDEX(Producer!$K:$K,MATCH($D262,Producer!$A:$A,0))),"")</f>
        <v/>
      </c>
      <c r="BD262" s="147" t="str">
        <f>_xlfn.IFNA(INDEX(Producer!$I:$I,MATCH($D262,Producer!$A:$A,0)),"")</f>
        <v/>
      </c>
      <c r="BE262" s="147" t="str">
        <f t="shared" si="120"/>
        <v/>
      </c>
      <c r="BF262" s="147"/>
      <c r="BG262" s="147"/>
      <c r="BH262" s="151" t="str">
        <f>_xlfn.IFNA(INDEX(Constants!$B:$B,MATCH(BC262,Constants!A:A,0)),"")</f>
        <v/>
      </c>
      <c r="BI262" s="147" t="str">
        <f>IF(LEFT(B262,15)="Limited Company",Constants!$D$16,IFERROR(_xlfn.IFNA(IF(C262="Residential",IF(BK262&lt;75,INDEX(Constants!$B:$B,MATCH(VALUE(60)/100,Constants!$A:$A,0)),INDEX(Constants!$B:$B,MATCH(VALUE(BK262)/100,Constants!$A:$A,0))),IF(BK262&lt;60,INDEX(Constants!$C:$C,MATCH(VALUE(60)/100,Constants!$A:$A,0)),INDEX(Constants!$C:$C,MATCH(VALUE(BK262)/100,Constants!$A:$A,0)))),""),""))</f>
        <v/>
      </c>
      <c r="BJ262" s="147" t="str">
        <f t="shared" si="121"/>
        <v/>
      </c>
      <c r="BK262" s="147" t="str">
        <f>_xlfn.IFNA(VALUE(INDEX(Producer!$E:$E,MATCH($D262,Producer!$A:$A,0)))*100,"")</f>
        <v/>
      </c>
      <c r="BL262" s="146" t="str">
        <f>_xlfn.IFNA(IF(IFERROR(FIND("Part &amp; Part",B262),-10)&gt;0,"PP",IF(OR(LEFT(B262,25)="Residential Interest Only",INDEX(Producer!$P:$P,MATCH($D262,Producer!$A:$A,0))="IO",INDEX(Producer!$P:$P,MATCH($D262,Producer!$A:$A,0))="Retirement Interest Only"),"IO",IF($C262="BuyToLet","CI, IO","CI"))),"")</f>
        <v/>
      </c>
      <c r="BM262" s="152" t="str">
        <f>_xlfn.IFNA(IF(BL262="IO",100%,IF(AND(INDEX(Producer!$P:$P,MATCH($D262,Producer!$A:$A,0))="Residential Interest Only Part &amp; Part",BK262=75),80%,IF(C262="BuyToLet",100%,IF(BL262="Interest Only",100%,IF(AND(INDEX(Producer!$P:$P,MATCH($D262,Producer!$A:$A,0))="Residential Interest Only Part &amp; Part",BK262=60),100%,""))))),"")</f>
        <v/>
      </c>
      <c r="BN262" s="218" t="str">
        <f>_xlfn.IFNA(IF(VALUE(INDEX(Producer!$H:$H,MATCH($D262,Producer!$A:$A,0)))=0,"",VALUE(INDEX(Producer!$H:$H,MATCH($D262,Producer!$A:$A,0)))),"")</f>
        <v/>
      </c>
      <c r="BO262" s="153"/>
      <c r="BP262" s="153"/>
      <c r="BQ262" s="219" t="str">
        <f t="shared" si="122"/>
        <v/>
      </c>
      <c r="BR262" s="146"/>
      <c r="BS262" s="146"/>
      <c r="BT262" s="146"/>
      <c r="BU262" s="146"/>
      <c r="BV262" s="219" t="str">
        <f t="shared" si="123"/>
        <v/>
      </c>
      <c r="BW262" s="146"/>
      <c r="BX262" s="146"/>
      <c r="BY262" s="146" t="str">
        <f t="shared" si="124"/>
        <v/>
      </c>
      <c r="BZ262" s="146" t="str">
        <f t="shared" si="125"/>
        <v/>
      </c>
      <c r="CA262" s="146" t="str">
        <f t="shared" si="126"/>
        <v/>
      </c>
      <c r="CB262" s="146" t="str">
        <f t="shared" si="127"/>
        <v/>
      </c>
      <c r="CC262" s="146" t="str">
        <f>_xlfn.IFNA(IF(INDEX(Producer!$P:$P,MATCH($D262,Producer!$A:$A,0))="Help to Buy","Only available","No"),"")</f>
        <v/>
      </c>
      <c r="CD262" s="146" t="str">
        <f>_xlfn.IFNA(IF(INDEX(Producer!$P:$P,MATCH($D262,Producer!$A:$A,0))="Shared Ownership","Only available","No"),"")</f>
        <v/>
      </c>
      <c r="CE262" s="146" t="str">
        <f>_xlfn.IFNA(IF(INDEX(Producer!$P:$P,MATCH($D262,Producer!$A:$A,0))="Right to Buy","Only available","No"),"")</f>
        <v/>
      </c>
      <c r="CF262" s="146" t="str">
        <f t="shared" si="128"/>
        <v/>
      </c>
      <c r="CG262" s="146" t="str">
        <f>_xlfn.IFNA(IF(INDEX(Producer!$P:$P,MATCH($D262,Producer!$A:$A,0))="Retirement Interest Only","Only available","No"),"")</f>
        <v/>
      </c>
      <c r="CH262" s="146" t="str">
        <f t="shared" si="129"/>
        <v/>
      </c>
      <c r="CI262" s="146" t="str">
        <f>_xlfn.IFNA(IF(INDEX(Producer!$P:$P,MATCH($D262,Producer!$A:$A,0))="Intermediary Holiday Let","Only available","No"),"")</f>
        <v/>
      </c>
      <c r="CJ262" s="146" t="str">
        <f t="shared" si="130"/>
        <v/>
      </c>
      <c r="CK262" s="146" t="str">
        <f>_xlfn.IFNA(IF(OR(INDEX(Producer!$P:$P,MATCH($D262,Producer!$A:$A,0))="Intermediary Small HMO",INDEX(Producer!$P:$P,MATCH($D262,Producer!$A:$A,0))="Intermediary Large HMO"),"Only available","No"),"")</f>
        <v/>
      </c>
      <c r="CL262" s="146" t="str">
        <f t="shared" si="131"/>
        <v/>
      </c>
      <c r="CM262" s="146" t="str">
        <f t="shared" si="132"/>
        <v/>
      </c>
      <c r="CN262" s="146" t="str">
        <f t="shared" si="133"/>
        <v/>
      </c>
      <c r="CO262" s="146" t="str">
        <f t="shared" si="134"/>
        <v/>
      </c>
      <c r="CP262" s="146" t="str">
        <f t="shared" si="135"/>
        <v/>
      </c>
      <c r="CQ262" s="146" t="str">
        <f t="shared" si="136"/>
        <v/>
      </c>
      <c r="CR262" s="146" t="str">
        <f t="shared" si="137"/>
        <v/>
      </c>
      <c r="CS262" s="146" t="str">
        <f t="shared" si="138"/>
        <v/>
      </c>
      <c r="CT262" s="146" t="str">
        <f t="shared" si="139"/>
        <v/>
      </c>
      <c r="CU262" s="146"/>
    </row>
    <row r="263" spans="1:99" ht="16.399999999999999" customHeight="1" x14ac:dyDescent="0.35">
      <c r="A263" s="145" t="str">
        <f t="shared" si="112"/>
        <v/>
      </c>
      <c r="B263" s="145" t="str">
        <f>_xlfn.IFNA(_xlfn.CONCAT(INDEX(Producer!$P:$P,MATCH($D263,Producer!$A:$A,0))," ",IF(INDEX(Producer!$N:$N,MATCH($D263,Producer!$A:$A,0))="Yes","Green ",""),IF(AND(INDEX(Producer!$L:$L,MATCH($D263,Producer!$A:$A,0))="No",INDEX(Producer!$C:$C,MATCH($D263,Producer!$A:$A,0))="Fixed"),"Flexit ",""),INDEX(Producer!$B:$B,MATCH($D263,Producer!$A:$A,0))," Year ",INDEX(Producer!$C:$C,MATCH($D263,Producer!$A:$A,0))," ",VALUE(INDEX(Producer!$E:$E,MATCH($D263,Producer!$A:$A,0)))*100,"% LTV",IF(INDEX(Producer!$N:$N,MATCH($D263,Producer!$A:$A,0))="Yes"," (EPC A-C)","")," - ",IF(INDEX(Producer!$D:$D,MATCH($D263,Producer!$A:$A,0))="DLY","Daily","Annual")),"")</f>
        <v/>
      </c>
      <c r="C263" s="146" t="str">
        <f>_xlfn.IFNA(INDEX(Producer!$Q:$Q,MATCH($D263,Producer!$A:$A,0)),"")</f>
        <v/>
      </c>
      <c r="D263" s="146" t="str">
        <f>IFERROR(VALUE(MID(Producer!$R$2,IF($D262="",1/0,FIND(_xlfn.CONCAT($D261,$D262),Producer!$R$2)+10),5)),"")</f>
        <v/>
      </c>
      <c r="E263" s="146" t="str">
        <f t="shared" si="113"/>
        <v/>
      </c>
      <c r="F263" s="146"/>
      <c r="G263" s="147" t="str">
        <f>_xlfn.IFNA(VALUE(INDEX(Producer!$F:$F,MATCH($D263,Producer!$A:$A,0)))*100,"")</f>
        <v/>
      </c>
      <c r="H263" s="216" t="str">
        <f>_xlfn.IFNA(IFERROR(DATEVALUE(INDEX(Producer!$M:$M,MATCH($D263,Producer!$A:$A,0))),(INDEX(Producer!$M:$M,MATCH($D263,Producer!$A:$A,0)))),"")</f>
        <v/>
      </c>
      <c r="I263" s="217" t="str">
        <f>_xlfn.IFNA(VALUE(INDEX(Producer!$B:$B,MATCH($D263,Producer!$A:$A,0)))*12,"")</f>
        <v/>
      </c>
      <c r="J263" s="146" t="str">
        <f>_xlfn.IFNA(IF(C263="Residential",IF(VALUE(INDEX(Producer!$B:$B,MATCH($D263,Producer!$A:$A,0)))&lt;5,Constants!$C$10,""),IF(VALUE(INDEX(Producer!$B:$B,MATCH($D263,Producer!$A:$A,0)))&lt;5,Constants!$C$11,"")),"")</f>
        <v/>
      </c>
      <c r="K263" s="216" t="str">
        <f>_xlfn.IFNA(IF(($I263)&lt;60,DATE(YEAR(H263)+(5-VALUE(INDEX(Producer!$B:$B,MATCH($D263,Producer!$A:$A,0)))),MONTH(H263),DAY(H263)),""),"")</f>
        <v/>
      </c>
      <c r="L263" s="153" t="str">
        <f t="shared" si="114"/>
        <v/>
      </c>
      <c r="M263" s="146"/>
      <c r="N263" s="148"/>
      <c r="O263" s="148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6"/>
      <c r="AK263" s="146" t="str">
        <f>IF(D263="","",IF(C263="Residential",Constants!$B$10,Constants!$B$11))</f>
        <v/>
      </c>
      <c r="AL263" s="146" t="str">
        <f t="shared" si="115"/>
        <v/>
      </c>
      <c r="AM263" s="206" t="str">
        <f t="shared" si="116"/>
        <v/>
      </c>
      <c r="AN263" s="146" t="str">
        <f t="shared" si="117"/>
        <v/>
      </c>
      <c r="AO263" s="149" t="str">
        <f t="shared" si="118"/>
        <v/>
      </c>
      <c r="AP263" s="150" t="str">
        <f t="shared" si="119"/>
        <v/>
      </c>
      <c r="AQ263" s="146" t="str">
        <f>IFERROR(_xlfn.IFNA(IF($BA263="No",0,IF(INDEX(Constants!B:B,MATCH(($I263/12),Constants!$A:$A,0))=0,0,INDEX(Constants!B:B,MATCH(($I263/12),Constants!$A:$A,0)))),0),"")</f>
        <v/>
      </c>
      <c r="AR263" s="146" t="str">
        <f>IFERROR(_xlfn.IFNA(IF($BA263="No",0,IF(INDEX(Constants!C:C,MATCH(($I263/12),Constants!$A:$A,0))=0,0,INDEX(Constants!C:C,MATCH(($I263/12),Constants!$A:$A,0)))),0),"")</f>
        <v/>
      </c>
      <c r="AS263" s="146" t="str">
        <f>IFERROR(_xlfn.IFNA(IF($BA263="No",0,IF(INDEX(Constants!D:D,MATCH(($I263/12),Constants!$A:$A,0))=0,0,INDEX(Constants!D:D,MATCH(($I263/12),Constants!$A:$A,0)))),0),"")</f>
        <v/>
      </c>
      <c r="AT263" s="146" t="str">
        <f>IFERROR(_xlfn.IFNA(IF($BA263="No",0,IF(INDEX(Constants!E:E,MATCH(($I263/12),Constants!$A:$A,0))=0,0,INDEX(Constants!E:E,MATCH(($I263/12),Constants!$A:$A,0)))),0),"")</f>
        <v/>
      </c>
      <c r="AU263" s="146" t="str">
        <f>IFERROR(_xlfn.IFNA(IF($BA263="No",0,IF(INDEX(Constants!F:F,MATCH(($I263/12),Constants!$A:$A,0))=0,0,INDEX(Constants!F:F,MATCH(($I263/12),Constants!$A:$A,0)))),0),"")</f>
        <v/>
      </c>
      <c r="AV263" s="146" t="str">
        <f>IFERROR(_xlfn.IFNA(IF($BA263="No",0,IF(INDEX(Constants!G:G,MATCH(($I263/12),Constants!$A:$A,0))=0,0,INDEX(Constants!G:G,MATCH(($I263/12),Constants!$A:$A,0)))),0),"")</f>
        <v/>
      </c>
      <c r="AW263" s="146" t="str">
        <f>IFERROR(_xlfn.IFNA(IF($BA263="No",0,IF(INDEX(Constants!H:H,MATCH(($I263/12),Constants!$A:$A,0))=0,0,INDEX(Constants!H:H,MATCH(($I263/12),Constants!$A:$A,0)))),0),"")</f>
        <v/>
      </c>
      <c r="AX263" s="146" t="str">
        <f>IFERROR(_xlfn.IFNA(IF($BA263="No",0,IF(INDEX(Constants!I:I,MATCH(($I263/12),Constants!$A:$A,0))=0,0,INDEX(Constants!I:I,MATCH(($I263/12),Constants!$A:$A,0)))),0),"")</f>
        <v/>
      </c>
      <c r="AY263" s="146" t="str">
        <f>IFERROR(_xlfn.IFNA(IF($BA263="No",0,IF(INDEX(Constants!J:J,MATCH(($I263/12),Constants!$A:$A,0))=0,0,INDEX(Constants!J:J,MATCH(($I263/12),Constants!$A:$A,0)))),0),"")</f>
        <v/>
      </c>
      <c r="AZ263" s="146" t="str">
        <f>IFERROR(_xlfn.IFNA(IF($BA263="No",0,IF(INDEX(Constants!K:K,MATCH(($I263/12),Constants!$A:$A,0))=0,0,INDEX(Constants!K:K,MATCH(($I263/12),Constants!$A:$A,0)))),0),"")</f>
        <v/>
      </c>
      <c r="BA263" s="147" t="str">
        <f>_xlfn.IFNA(INDEX(Producer!$L:$L,MATCH($D263,Producer!$A:$A,0)),"")</f>
        <v/>
      </c>
      <c r="BB263" s="146" t="str">
        <f>IFERROR(IF(AQ263=0,"",IF(($I263/12)=15,_xlfn.CONCAT(Constants!$N$7,TEXT(DATE(YEAR(H263)-(($I263/12)-3),MONTH(H263),DAY(H263)),"dd/mm/yyyy"),", ",Constants!$P$7,TEXT(DATE(YEAR(H263)-(($I263/12)-8),MONTH(H263),DAY(H263)),"dd/mm/yyyy"),", ",Constants!$T$7,TEXT(DATE(YEAR(H263)-(($I263/12)-11),MONTH(H263),DAY(H263)),"dd/mm/yyyy"),", ",Constants!$V$7,TEXT(DATE(YEAR(H263)-(($I263/12)-13),MONTH(H263),DAY(H263)),"dd/mm/yyyy"),", ",Constants!$W$7,TEXT($H263,"dd/mm/yyyy")),IF(($I263/12)=10,_xlfn.CONCAT(Constants!$N$6,TEXT(DATE(YEAR(H263)-(($I263/12)-2),MONTH(H263),DAY(H263)),"dd/mm/yyyy"),", ",Constants!$P$6,TEXT(DATE(YEAR(H263)-(($I263/12)-6),MONTH(H263),DAY(H263)),"dd/mm/yyyy"),", ",Constants!$T$6,TEXT(DATE(YEAR(H263)-(($I263/12)-8),MONTH(H263),DAY(H263)),"dd/mm/yyyy"),", ",Constants!$V$6,TEXT(DATE(YEAR(H263)-(($I263/12)-9),MONTH(H263),DAY(H263)),"dd/mm/yyyy"),", ",Constants!$W$6,TEXT($H263,"dd/mm/yyyy")),IF(($I263/12)=5,_xlfn.CONCAT(Constants!$N$5,TEXT(DATE(YEAR(H263)-(($I263/12)-1),MONTH(H263),DAY(H263)),"dd/mm/yyyy"),", ",Constants!$O$5,TEXT(DATE(YEAR(H263)-(($I263/12)-2),MONTH(H263),DAY(H263)),"dd/mm/yyyy"),", ",Constants!$P$5,TEXT(DATE(YEAR(H263)-(($I263/12)-3),MONTH(H263),DAY(H263)),"dd/mm/yyyy"),", ",Constants!$Q$5,TEXT(DATE(YEAR(H263)-(($I263/12)-4),MONTH(H263),DAY(H263)),"dd/mm/yyyy"),", ",Constants!$R$5,TEXT($H263,"dd/mm/yyyy")),IF(($I263/12)=3,_xlfn.CONCAT(Constants!$N$4,TEXT(DATE(YEAR(H263)-(($I263/12)-1),MONTH(H263),DAY(H263)),"dd/mm/yyyy"),", ",Constants!$O$4,TEXT(DATE(YEAR(H263)-(($I263/12)-2),MONTH(H263),DAY(H263)),"dd/mm/yyyy"),", ",Constants!$P$4,TEXT($H263,"dd/mm/yyyy")),IF(($I263/12)=2,_xlfn.CONCAT(Constants!$N$3,TEXT(DATE(YEAR(H263)-(($I263/12)-1),MONTH(H263),DAY(H263)),"dd/mm/yyyy"),", ",Constants!$O$3,TEXT($H263,"dd/mm/yyyy")),IF(($I263/12)=1,_xlfn.CONCAT(Constants!$N$2,TEXT($H263,"dd/mm/yyyy")),"Update Constants"))))))),"")</f>
        <v/>
      </c>
      <c r="BC263" s="147" t="str">
        <f>_xlfn.IFNA(VALUE(INDEX(Producer!$K:$K,MATCH($D263,Producer!$A:$A,0))),"")</f>
        <v/>
      </c>
      <c r="BD263" s="147" t="str">
        <f>_xlfn.IFNA(INDEX(Producer!$I:$I,MATCH($D263,Producer!$A:$A,0)),"")</f>
        <v/>
      </c>
      <c r="BE263" s="147" t="str">
        <f t="shared" si="120"/>
        <v/>
      </c>
      <c r="BF263" s="147"/>
      <c r="BG263" s="147"/>
      <c r="BH263" s="151" t="str">
        <f>_xlfn.IFNA(INDEX(Constants!$B:$B,MATCH(BC263,Constants!A:A,0)),"")</f>
        <v/>
      </c>
      <c r="BI263" s="147" t="str">
        <f>IF(LEFT(B263,15)="Limited Company",Constants!$D$16,IFERROR(_xlfn.IFNA(IF(C263="Residential",IF(BK263&lt;75,INDEX(Constants!$B:$B,MATCH(VALUE(60)/100,Constants!$A:$A,0)),INDEX(Constants!$B:$B,MATCH(VALUE(BK263)/100,Constants!$A:$A,0))),IF(BK263&lt;60,INDEX(Constants!$C:$C,MATCH(VALUE(60)/100,Constants!$A:$A,0)),INDEX(Constants!$C:$C,MATCH(VALUE(BK263)/100,Constants!$A:$A,0)))),""),""))</f>
        <v/>
      </c>
      <c r="BJ263" s="147" t="str">
        <f t="shared" si="121"/>
        <v/>
      </c>
      <c r="BK263" s="147" t="str">
        <f>_xlfn.IFNA(VALUE(INDEX(Producer!$E:$E,MATCH($D263,Producer!$A:$A,0)))*100,"")</f>
        <v/>
      </c>
      <c r="BL263" s="146" t="str">
        <f>_xlfn.IFNA(IF(IFERROR(FIND("Part &amp; Part",B263),-10)&gt;0,"PP",IF(OR(LEFT(B263,25)="Residential Interest Only",INDEX(Producer!$P:$P,MATCH($D263,Producer!$A:$A,0))="IO",INDEX(Producer!$P:$P,MATCH($D263,Producer!$A:$A,0))="Retirement Interest Only"),"IO",IF($C263="BuyToLet","CI, IO","CI"))),"")</f>
        <v/>
      </c>
      <c r="BM263" s="152" t="str">
        <f>_xlfn.IFNA(IF(BL263="IO",100%,IF(AND(INDEX(Producer!$P:$P,MATCH($D263,Producer!$A:$A,0))="Residential Interest Only Part &amp; Part",BK263=75),80%,IF(C263="BuyToLet",100%,IF(BL263="Interest Only",100%,IF(AND(INDEX(Producer!$P:$P,MATCH($D263,Producer!$A:$A,0))="Residential Interest Only Part &amp; Part",BK263=60),100%,""))))),"")</f>
        <v/>
      </c>
      <c r="BN263" s="218" t="str">
        <f>_xlfn.IFNA(IF(VALUE(INDEX(Producer!$H:$H,MATCH($D263,Producer!$A:$A,0)))=0,"",VALUE(INDEX(Producer!$H:$H,MATCH($D263,Producer!$A:$A,0)))),"")</f>
        <v/>
      </c>
      <c r="BO263" s="153"/>
      <c r="BP263" s="153"/>
      <c r="BQ263" s="219" t="str">
        <f t="shared" si="122"/>
        <v/>
      </c>
      <c r="BR263" s="146"/>
      <c r="BS263" s="146"/>
      <c r="BT263" s="146"/>
      <c r="BU263" s="146"/>
      <c r="BV263" s="219" t="str">
        <f t="shared" si="123"/>
        <v/>
      </c>
      <c r="BW263" s="146"/>
      <c r="BX263" s="146"/>
      <c r="BY263" s="146" t="str">
        <f t="shared" si="124"/>
        <v/>
      </c>
      <c r="BZ263" s="146" t="str">
        <f t="shared" si="125"/>
        <v/>
      </c>
      <c r="CA263" s="146" t="str">
        <f t="shared" si="126"/>
        <v/>
      </c>
      <c r="CB263" s="146" t="str">
        <f t="shared" si="127"/>
        <v/>
      </c>
      <c r="CC263" s="146" t="str">
        <f>_xlfn.IFNA(IF(INDEX(Producer!$P:$P,MATCH($D263,Producer!$A:$A,0))="Help to Buy","Only available","No"),"")</f>
        <v/>
      </c>
      <c r="CD263" s="146" t="str">
        <f>_xlfn.IFNA(IF(INDEX(Producer!$P:$P,MATCH($D263,Producer!$A:$A,0))="Shared Ownership","Only available","No"),"")</f>
        <v/>
      </c>
      <c r="CE263" s="146" t="str">
        <f>_xlfn.IFNA(IF(INDEX(Producer!$P:$P,MATCH($D263,Producer!$A:$A,0))="Right to Buy","Only available","No"),"")</f>
        <v/>
      </c>
      <c r="CF263" s="146" t="str">
        <f t="shared" si="128"/>
        <v/>
      </c>
      <c r="CG263" s="146" t="str">
        <f>_xlfn.IFNA(IF(INDEX(Producer!$P:$P,MATCH($D263,Producer!$A:$A,0))="Retirement Interest Only","Only available","No"),"")</f>
        <v/>
      </c>
      <c r="CH263" s="146" t="str">
        <f t="shared" si="129"/>
        <v/>
      </c>
      <c r="CI263" s="146" t="str">
        <f>_xlfn.IFNA(IF(INDEX(Producer!$P:$P,MATCH($D263,Producer!$A:$A,0))="Intermediary Holiday Let","Only available","No"),"")</f>
        <v/>
      </c>
      <c r="CJ263" s="146" t="str">
        <f t="shared" si="130"/>
        <v/>
      </c>
      <c r="CK263" s="146" t="str">
        <f>_xlfn.IFNA(IF(OR(INDEX(Producer!$P:$P,MATCH($D263,Producer!$A:$A,0))="Intermediary Small HMO",INDEX(Producer!$P:$P,MATCH($D263,Producer!$A:$A,0))="Intermediary Large HMO"),"Only available","No"),"")</f>
        <v/>
      </c>
      <c r="CL263" s="146" t="str">
        <f t="shared" si="131"/>
        <v/>
      </c>
      <c r="CM263" s="146" t="str">
        <f t="shared" si="132"/>
        <v/>
      </c>
      <c r="CN263" s="146" t="str">
        <f t="shared" si="133"/>
        <v/>
      </c>
      <c r="CO263" s="146" t="str">
        <f t="shared" si="134"/>
        <v/>
      </c>
      <c r="CP263" s="146" t="str">
        <f t="shared" si="135"/>
        <v/>
      </c>
      <c r="CQ263" s="146" t="str">
        <f t="shared" si="136"/>
        <v/>
      </c>
      <c r="CR263" s="146" t="str">
        <f t="shared" si="137"/>
        <v/>
      </c>
      <c r="CS263" s="146" t="str">
        <f t="shared" si="138"/>
        <v/>
      </c>
      <c r="CT263" s="146" t="str">
        <f t="shared" si="139"/>
        <v/>
      </c>
      <c r="CU263" s="146"/>
    </row>
    <row r="264" spans="1:99" ht="16.399999999999999" customHeight="1" x14ac:dyDescent="0.35">
      <c r="A264" s="145" t="str">
        <f t="shared" si="112"/>
        <v/>
      </c>
      <c r="B264" s="145" t="str">
        <f>_xlfn.IFNA(_xlfn.CONCAT(INDEX(Producer!$P:$P,MATCH($D264,Producer!$A:$A,0))," ",IF(INDEX(Producer!$N:$N,MATCH($D264,Producer!$A:$A,0))="Yes","Green ",""),IF(AND(INDEX(Producer!$L:$L,MATCH($D264,Producer!$A:$A,0))="No",INDEX(Producer!$C:$C,MATCH($D264,Producer!$A:$A,0))="Fixed"),"Flexit ",""),INDEX(Producer!$B:$B,MATCH($D264,Producer!$A:$A,0))," Year ",INDEX(Producer!$C:$C,MATCH($D264,Producer!$A:$A,0))," ",VALUE(INDEX(Producer!$E:$E,MATCH($D264,Producer!$A:$A,0)))*100,"% LTV",IF(INDEX(Producer!$N:$N,MATCH($D264,Producer!$A:$A,0))="Yes"," (EPC A-C)","")," - ",IF(INDEX(Producer!$D:$D,MATCH($D264,Producer!$A:$A,0))="DLY","Daily","Annual")),"")</f>
        <v/>
      </c>
      <c r="C264" s="146" t="str">
        <f>_xlfn.IFNA(INDEX(Producer!$Q:$Q,MATCH($D264,Producer!$A:$A,0)),"")</f>
        <v/>
      </c>
      <c r="D264" s="146" t="str">
        <f>IFERROR(VALUE(MID(Producer!$R$2,IF($D263="",1/0,FIND(_xlfn.CONCAT($D262,$D263),Producer!$R$2)+10),5)),"")</f>
        <v/>
      </c>
      <c r="E264" s="146" t="str">
        <f t="shared" si="113"/>
        <v/>
      </c>
      <c r="F264" s="146"/>
      <c r="G264" s="147" t="str">
        <f>_xlfn.IFNA(VALUE(INDEX(Producer!$F:$F,MATCH($D264,Producer!$A:$A,0)))*100,"")</f>
        <v/>
      </c>
      <c r="H264" s="216" t="str">
        <f>_xlfn.IFNA(IFERROR(DATEVALUE(INDEX(Producer!$M:$M,MATCH($D264,Producer!$A:$A,0))),(INDEX(Producer!$M:$M,MATCH($D264,Producer!$A:$A,0)))),"")</f>
        <v/>
      </c>
      <c r="I264" s="217" t="str">
        <f>_xlfn.IFNA(VALUE(INDEX(Producer!$B:$B,MATCH($D264,Producer!$A:$A,0)))*12,"")</f>
        <v/>
      </c>
      <c r="J264" s="146" t="str">
        <f>_xlfn.IFNA(IF(C264="Residential",IF(VALUE(INDEX(Producer!$B:$B,MATCH($D264,Producer!$A:$A,0)))&lt;5,Constants!$C$10,""),IF(VALUE(INDEX(Producer!$B:$B,MATCH($D264,Producer!$A:$A,0)))&lt;5,Constants!$C$11,"")),"")</f>
        <v/>
      </c>
      <c r="K264" s="216" t="str">
        <f>_xlfn.IFNA(IF(($I264)&lt;60,DATE(YEAR(H264)+(5-VALUE(INDEX(Producer!$B:$B,MATCH($D264,Producer!$A:$A,0)))),MONTH(H264),DAY(H264)),""),"")</f>
        <v/>
      </c>
      <c r="L264" s="153" t="str">
        <f t="shared" si="114"/>
        <v/>
      </c>
      <c r="M264" s="146"/>
      <c r="N264" s="148"/>
      <c r="O264" s="148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  <c r="AC264" s="146"/>
      <c r="AD264" s="146"/>
      <c r="AE264" s="146"/>
      <c r="AF264" s="146"/>
      <c r="AG264" s="146"/>
      <c r="AH264" s="146"/>
      <c r="AI264" s="146"/>
      <c r="AJ264" s="146"/>
      <c r="AK264" s="146" t="str">
        <f>IF(D264="","",IF(C264="Residential",Constants!$B$10,Constants!$B$11))</f>
        <v/>
      </c>
      <c r="AL264" s="146" t="str">
        <f t="shared" si="115"/>
        <v/>
      </c>
      <c r="AM264" s="206" t="str">
        <f t="shared" si="116"/>
        <v/>
      </c>
      <c r="AN264" s="146" t="str">
        <f t="shared" si="117"/>
        <v/>
      </c>
      <c r="AO264" s="149" t="str">
        <f t="shared" si="118"/>
        <v/>
      </c>
      <c r="AP264" s="150" t="str">
        <f t="shared" si="119"/>
        <v/>
      </c>
      <c r="AQ264" s="146" t="str">
        <f>IFERROR(_xlfn.IFNA(IF($BA264="No",0,IF(INDEX(Constants!B:B,MATCH(($I264/12),Constants!$A:$A,0))=0,0,INDEX(Constants!B:B,MATCH(($I264/12),Constants!$A:$A,0)))),0),"")</f>
        <v/>
      </c>
      <c r="AR264" s="146" t="str">
        <f>IFERROR(_xlfn.IFNA(IF($BA264="No",0,IF(INDEX(Constants!C:C,MATCH(($I264/12),Constants!$A:$A,0))=0,0,INDEX(Constants!C:C,MATCH(($I264/12),Constants!$A:$A,0)))),0),"")</f>
        <v/>
      </c>
      <c r="AS264" s="146" t="str">
        <f>IFERROR(_xlfn.IFNA(IF($BA264="No",0,IF(INDEX(Constants!D:D,MATCH(($I264/12),Constants!$A:$A,0))=0,0,INDEX(Constants!D:D,MATCH(($I264/12),Constants!$A:$A,0)))),0),"")</f>
        <v/>
      </c>
      <c r="AT264" s="146" t="str">
        <f>IFERROR(_xlfn.IFNA(IF($BA264="No",0,IF(INDEX(Constants!E:E,MATCH(($I264/12),Constants!$A:$A,0))=0,0,INDEX(Constants!E:E,MATCH(($I264/12),Constants!$A:$A,0)))),0),"")</f>
        <v/>
      </c>
      <c r="AU264" s="146" t="str">
        <f>IFERROR(_xlfn.IFNA(IF($BA264="No",0,IF(INDEX(Constants!F:F,MATCH(($I264/12),Constants!$A:$A,0))=0,0,INDEX(Constants!F:F,MATCH(($I264/12),Constants!$A:$A,0)))),0),"")</f>
        <v/>
      </c>
      <c r="AV264" s="146" t="str">
        <f>IFERROR(_xlfn.IFNA(IF($BA264="No",0,IF(INDEX(Constants!G:G,MATCH(($I264/12),Constants!$A:$A,0))=0,0,INDEX(Constants!G:G,MATCH(($I264/12),Constants!$A:$A,0)))),0),"")</f>
        <v/>
      </c>
      <c r="AW264" s="146" t="str">
        <f>IFERROR(_xlfn.IFNA(IF($BA264="No",0,IF(INDEX(Constants!H:H,MATCH(($I264/12),Constants!$A:$A,0))=0,0,INDEX(Constants!H:H,MATCH(($I264/12),Constants!$A:$A,0)))),0),"")</f>
        <v/>
      </c>
      <c r="AX264" s="146" t="str">
        <f>IFERROR(_xlfn.IFNA(IF($BA264="No",0,IF(INDEX(Constants!I:I,MATCH(($I264/12),Constants!$A:$A,0))=0,0,INDEX(Constants!I:I,MATCH(($I264/12),Constants!$A:$A,0)))),0),"")</f>
        <v/>
      </c>
      <c r="AY264" s="146" t="str">
        <f>IFERROR(_xlfn.IFNA(IF($BA264="No",0,IF(INDEX(Constants!J:J,MATCH(($I264/12),Constants!$A:$A,0))=0,0,INDEX(Constants!J:J,MATCH(($I264/12),Constants!$A:$A,0)))),0),"")</f>
        <v/>
      </c>
      <c r="AZ264" s="146" t="str">
        <f>IFERROR(_xlfn.IFNA(IF($BA264="No",0,IF(INDEX(Constants!K:K,MATCH(($I264/12),Constants!$A:$A,0))=0,0,INDEX(Constants!K:K,MATCH(($I264/12),Constants!$A:$A,0)))),0),"")</f>
        <v/>
      </c>
      <c r="BA264" s="147" t="str">
        <f>_xlfn.IFNA(INDEX(Producer!$L:$L,MATCH($D264,Producer!$A:$A,0)),"")</f>
        <v/>
      </c>
      <c r="BB264" s="146" t="str">
        <f>IFERROR(IF(AQ264=0,"",IF(($I264/12)=15,_xlfn.CONCAT(Constants!$N$7,TEXT(DATE(YEAR(H264)-(($I264/12)-3),MONTH(H264),DAY(H264)),"dd/mm/yyyy"),", ",Constants!$P$7,TEXT(DATE(YEAR(H264)-(($I264/12)-8),MONTH(H264),DAY(H264)),"dd/mm/yyyy"),", ",Constants!$T$7,TEXT(DATE(YEAR(H264)-(($I264/12)-11),MONTH(H264),DAY(H264)),"dd/mm/yyyy"),", ",Constants!$V$7,TEXT(DATE(YEAR(H264)-(($I264/12)-13),MONTH(H264),DAY(H264)),"dd/mm/yyyy"),", ",Constants!$W$7,TEXT($H264,"dd/mm/yyyy")),IF(($I264/12)=10,_xlfn.CONCAT(Constants!$N$6,TEXT(DATE(YEAR(H264)-(($I264/12)-2),MONTH(H264),DAY(H264)),"dd/mm/yyyy"),", ",Constants!$P$6,TEXT(DATE(YEAR(H264)-(($I264/12)-6),MONTH(H264),DAY(H264)),"dd/mm/yyyy"),", ",Constants!$T$6,TEXT(DATE(YEAR(H264)-(($I264/12)-8),MONTH(H264),DAY(H264)),"dd/mm/yyyy"),", ",Constants!$V$6,TEXT(DATE(YEAR(H264)-(($I264/12)-9),MONTH(H264),DAY(H264)),"dd/mm/yyyy"),", ",Constants!$W$6,TEXT($H264,"dd/mm/yyyy")),IF(($I264/12)=5,_xlfn.CONCAT(Constants!$N$5,TEXT(DATE(YEAR(H264)-(($I264/12)-1),MONTH(H264),DAY(H264)),"dd/mm/yyyy"),", ",Constants!$O$5,TEXT(DATE(YEAR(H264)-(($I264/12)-2),MONTH(H264),DAY(H264)),"dd/mm/yyyy"),", ",Constants!$P$5,TEXT(DATE(YEAR(H264)-(($I264/12)-3),MONTH(H264),DAY(H264)),"dd/mm/yyyy"),", ",Constants!$Q$5,TEXT(DATE(YEAR(H264)-(($I264/12)-4),MONTH(H264),DAY(H264)),"dd/mm/yyyy"),", ",Constants!$R$5,TEXT($H264,"dd/mm/yyyy")),IF(($I264/12)=3,_xlfn.CONCAT(Constants!$N$4,TEXT(DATE(YEAR(H264)-(($I264/12)-1),MONTH(H264),DAY(H264)),"dd/mm/yyyy"),", ",Constants!$O$4,TEXT(DATE(YEAR(H264)-(($I264/12)-2),MONTH(H264),DAY(H264)),"dd/mm/yyyy"),", ",Constants!$P$4,TEXT($H264,"dd/mm/yyyy")),IF(($I264/12)=2,_xlfn.CONCAT(Constants!$N$3,TEXT(DATE(YEAR(H264)-(($I264/12)-1),MONTH(H264),DAY(H264)),"dd/mm/yyyy"),", ",Constants!$O$3,TEXT($H264,"dd/mm/yyyy")),IF(($I264/12)=1,_xlfn.CONCAT(Constants!$N$2,TEXT($H264,"dd/mm/yyyy")),"Update Constants"))))))),"")</f>
        <v/>
      </c>
      <c r="BC264" s="147" t="str">
        <f>_xlfn.IFNA(VALUE(INDEX(Producer!$K:$K,MATCH($D264,Producer!$A:$A,0))),"")</f>
        <v/>
      </c>
      <c r="BD264" s="147" t="str">
        <f>_xlfn.IFNA(INDEX(Producer!$I:$I,MATCH($D264,Producer!$A:$A,0)),"")</f>
        <v/>
      </c>
      <c r="BE264" s="147" t="str">
        <f t="shared" si="120"/>
        <v/>
      </c>
      <c r="BF264" s="147"/>
      <c r="BG264" s="147"/>
      <c r="BH264" s="151" t="str">
        <f>_xlfn.IFNA(INDEX(Constants!$B:$B,MATCH(BC264,Constants!A:A,0)),"")</f>
        <v/>
      </c>
      <c r="BI264" s="147" t="str">
        <f>IF(LEFT(B264,15)="Limited Company",Constants!$D$16,IFERROR(_xlfn.IFNA(IF(C264="Residential",IF(BK264&lt;75,INDEX(Constants!$B:$B,MATCH(VALUE(60)/100,Constants!$A:$A,0)),INDEX(Constants!$B:$B,MATCH(VALUE(BK264)/100,Constants!$A:$A,0))),IF(BK264&lt;60,INDEX(Constants!$C:$C,MATCH(VALUE(60)/100,Constants!$A:$A,0)),INDEX(Constants!$C:$C,MATCH(VALUE(BK264)/100,Constants!$A:$A,0)))),""),""))</f>
        <v/>
      </c>
      <c r="BJ264" s="147" t="str">
        <f t="shared" si="121"/>
        <v/>
      </c>
      <c r="BK264" s="147" t="str">
        <f>_xlfn.IFNA(VALUE(INDEX(Producer!$E:$E,MATCH($D264,Producer!$A:$A,0)))*100,"")</f>
        <v/>
      </c>
      <c r="BL264" s="146" t="str">
        <f>_xlfn.IFNA(IF(IFERROR(FIND("Part &amp; Part",B264),-10)&gt;0,"PP",IF(OR(LEFT(B264,25)="Residential Interest Only",INDEX(Producer!$P:$P,MATCH($D264,Producer!$A:$A,0))="IO",INDEX(Producer!$P:$P,MATCH($D264,Producer!$A:$A,0))="Retirement Interest Only"),"IO",IF($C264="BuyToLet","CI, IO","CI"))),"")</f>
        <v/>
      </c>
      <c r="BM264" s="152" t="str">
        <f>_xlfn.IFNA(IF(BL264="IO",100%,IF(AND(INDEX(Producer!$P:$P,MATCH($D264,Producer!$A:$A,0))="Residential Interest Only Part &amp; Part",BK264=75),80%,IF(C264="BuyToLet",100%,IF(BL264="Interest Only",100%,IF(AND(INDEX(Producer!$P:$P,MATCH($D264,Producer!$A:$A,0))="Residential Interest Only Part &amp; Part",BK264=60),100%,""))))),"")</f>
        <v/>
      </c>
      <c r="BN264" s="218" t="str">
        <f>_xlfn.IFNA(IF(VALUE(INDEX(Producer!$H:$H,MATCH($D264,Producer!$A:$A,0)))=0,"",VALUE(INDEX(Producer!$H:$H,MATCH($D264,Producer!$A:$A,0)))),"")</f>
        <v/>
      </c>
      <c r="BO264" s="153"/>
      <c r="BP264" s="153"/>
      <c r="BQ264" s="219" t="str">
        <f t="shared" si="122"/>
        <v/>
      </c>
      <c r="BR264" s="146"/>
      <c r="BS264" s="146"/>
      <c r="BT264" s="146"/>
      <c r="BU264" s="146"/>
      <c r="BV264" s="219" t="str">
        <f t="shared" si="123"/>
        <v/>
      </c>
      <c r="BW264" s="146"/>
      <c r="BX264" s="146"/>
      <c r="BY264" s="146" t="str">
        <f t="shared" si="124"/>
        <v/>
      </c>
      <c r="BZ264" s="146" t="str">
        <f t="shared" si="125"/>
        <v/>
      </c>
      <c r="CA264" s="146" t="str">
        <f t="shared" si="126"/>
        <v/>
      </c>
      <c r="CB264" s="146" t="str">
        <f t="shared" si="127"/>
        <v/>
      </c>
      <c r="CC264" s="146" t="str">
        <f>_xlfn.IFNA(IF(INDEX(Producer!$P:$P,MATCH($D264,Producer!$A:$A,0))="Help to Buy","Only available","No"),"")</f>
        <v/>
      </c>
      <c r="CD264" s="146" t="str">
        <f>_xlfn.IFNA(IF(INDEX(Producer!$P:$P,MATCH($D264,Producer!$A:$A,0))="Shared Ownership","Only available","No"),"")</f>
        <v/>
      </c>
      <c r="CE264" s="146" t="str">
        <f>_xlfn.IFNA(IF(INDEX(Producer!$P:$P,MATCH($D264,Producer!$A:$A,0))="Right to Buy","Only available","No"),"")</f>
        <v/>
      </c>
      <c r="CF264" s="146" t="str">
        <f t="shared" si="128"/>
        <v/>
      </c>
      <c r="CG264" s="146" t="str">
        <f>_xlfn.IFNA(IF(INDEX(Producer!$P:$P,MATCH($D264,Producer!$A:$A,0))="Retirement Interest Only","Only available","No"),"")</f>
        <v/>
      </c>
      <c r="CH264" s="146" t="str">
        <f t="shared" si="129"/>
        <v/>
      </c>
      <c r="CI264" s="146" t="str">
        <f>_xlfn.IFNA(IF(INDEX(Producer!$P:$P,MATCH($D264,Producer!$A:$A,0))="Intermediary Holiday Let","Only available","No"),"")</f>
        <v/>
      </c>
      <c r="CJ264" s="146" t="str">
        <f t="shared" si="130"/>
        <v/>
      </c>
      <c r="CK264" s="146" t="str">
        <f>_xlfn.IFNA(IF(OR(INDEX(Producer!$P:$P,MATCH($D264,Producer!$A:$A,0))="Intermediary Small HMO",INDEX(Producer!$P:$P,MATCH($D264,Producer!$A:$A,0))="Intermediary Large HMO"),"Only available","No"),"")</f>
        <v/>
      </c>
      <c r="CL264" s="146" t="str">
        <f t="shared" si="131"/>
        <v/>
      </c>
      <c r="CM264" s="146" t="str">
        <f t="shared" si="132"/>
        <v/>
      </c>
      <c r="CN264" s="146" t="str">
        <f t="shared" si="133"/>
        <v/>
      </c>
      <c r="CO264" s="146" t="str">
        <f t="shared" si="134"/>
        <v/>
      </c>
      <c r="CP264" s="146" t="str">
        <f t="shared" si="135"/>
        <v/>
      </c>
      <c r="CQ264" s="146" t="str">
        <f t="shared" si="136"/>
        <v/>
      </c>
      <c r="CR264" s="146" t="str">
        <f t="shared" si="137"/>
        <v/>
      </c>
      <c r="CS264" s="146" t="str">
        <f t="shared" si="138"/>
        <v/>
      </c>
      <c r="CT264" s="146" t="str">
        <f t="shared" si="139"/>
        <v/>
      </c>
      <c r="CU264" s="146"/>
    </row>
    <row r="265" spans="1:99" ht="16.399999999999999" customHeight="1" x14ac:dyDescent="0.35">
      <c r="A265" s="145" t="str">
        <f t="shared" si="112"/>
        <v/>
      </c>
      <c r="B265" s="145" t="str">
        <f>_xlfn.IFNA(_xlfn.CONCAT(INDEX(Producer!$P:$P,MATCH($D265,Producer!$A:$A,0))," ",IF(INDEX(Producer!$N:$N,MATCH($D265,Producer!$A:$A,0))="Yes","Green ",""),IF(AND(INDEX(Producer!$L:$L,MATCH($D265,Producer!$A:$A,0))="No",INDEX(Producer!$C:$C,MATCH($D265,Producer!$A:$A,0))="Fixed"),"Flexit ",""),INDEX(Producer!$B:$B,MATCH($D265,Producer!$A:$A,0))," Year ",INDEX(Producer!$C:$C,MATCH($D265,Producer!$A:$A,0))," ",VALUE(INDEX(Producer!$E:$E,MATCH($D265,Producer!$A:$A,0)))*100,"% LTV",IF(INDEX(Producer!$N:$N,MATCH($D265,Producer!$A:$A,0))="Yes"," (EPC A-C)","")," - ",IF(INDEX(Producer!$D:$D,MATCH($D265,Producer!$A:$A,0))="DLY","Daily","Annual")),"")</f>
        <v/>
      </c>
      <c r="C265" s="146" t="str">
        <f>_xlfn.IFNA(INDEX(Producer!$Q:$Q,MATCH($D265,Producer!$A:$A,0)),"")</f>
        <v/>
      </c>
      <c r="D265" s="146" t="str">
        <f>IFERROR(VALUE(MID(Producer!$R$2,IF($D264="",1/0,FIND(_xlfn.CONCAT($D263,$D264),Producer!$R$2)+10),5)),"")</f>
        <v/>
      </c>
      <c r="E265" s="146" t="str">
        <f t="shared" si="113"/>
        <v/>
      </c>
      <c r="F265" s="146"/>
      <c r="G265" s="147" t="str">
        <f>_xlfn.IFNA(VALUE(INDEX(Producer!$F:$F,MATCH($D265,Producer!$A:$A,0)))*100,"")</f>
        <v/>
      </c>
      <c r="H265" s="216" t="str">
        <f>_xlfn.IFNA(IFERROR(DATEVALUE(INDEX(Producer!$M:$M,MATCH($D265,Producer!$A:$A,0))),(INDEX(Producer!$M:$M,MATCH($D265,Producer!$A:$A,0)))),"")</f>
        <v/>
      </c>
      <c r="I265" s="217" t="str">
        <f>_xlfn.IFNA(VALUE(INDEX(Producer!$B:$B,MATCH($D265,Producer!$A:$A,0)))*12,"")</f>
        <v/>
      </c>
      <c r="J265" s="146" t="str">
        <f>_xlfn.IFNA(IF(C265="Residential",IF(VALUE(INDEX(Producer!$B:$B,MATCH($D265,Producer!$A:$A,0)))&lt;5,Constants!$C$10,""),IF(VALUE(INDEX(Producer!$B:$B,MATCH($D265,Producer!$A:$A,0)))&lt;5,Constants!$C$11,"")),"")</f>
        <v/>
      </c>
      <c r="K265" s="216" t="str">
        <f>_xlfn.IFNA(IF(($I265)&lt;60,DATE(YEAR(H265)+(5-VALUE(INDEX(Producer!$B:$B,MATCH($D265,Producer!$A:$A,0)))),MONTH(H265),DAY(H265)),""),"")</f>
        <v/>
      </c>
      <c r="L265" s="153" t="str">
        <f t="shared" si="114"/>
        <v/>
      </c>
      <c r="M265" s="146"/>
      <c r="N265" s="148"/>
      <c r="O265" s="148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  <c r="AC265" s="146"/>
      <c r="AD265" s="146"/>
      <c r="AE265" s="146"/>
      <c r="AF265" s="146"/>
      <c r="AG265" s="146"/>
      <c r="AH265" s="146"/>
      <c r="AI265" s="146"/>
      <c r="AJ265" s="146"/>
      <c r="AK265" s="146" t="str">
        <f>IF(D265="","",IF(C265="Residential",Constants!$B$10,Constants!$B$11))</f>
        <v/>
      </c>
      <c r="AL265" s="146" t="str">
        <f t="shared" si="115"/>
        <v/>
      </c>
      <c r="AM265" s="206" t="str">
        <f t="shared" si="116"/>
        <v/>
      </c>
      <c r="AN265" s="146" t="str">
        <f t="shared" si="117"/>
        <v/>
      </c>
      <c r="AO265" s="149" t="str">
        <f t="shared" si="118"/>
        <v/>
      </c>
      <c r="AP265" s="150" t="str">
        <f t="shared" si="119"/>
        <v/>
      </c>
      <c r="AQ265" s="146" t="str">
        <f>IFERROR(_xlfn.IFNA(IF($BA265="No",0,IF(INDEX(Constants!B:B,MATCH(($I265/12),Constants!$A:$A,0))=0,0,INDEX(Constants!B:B,MATCH(($I265/12),Constants!$A:$A,0)))),0),"")</f>
        <v/>
      </c>
      <c r="AR265" s="146" t="str">
        <f>IFERROR(_xlfn.IFNA(IF($BA265="No",0,IF(INDEX(Constants!C:C,MATCH(($I265/12),Constants!$A:$A,0))=0,0,INDEX(Constants!C:C,MATCH(($I265/12),Constants!$A:$A,0)))),0),"")</f>
        <v/>
      </c>
      <c r="AS265" s="146" t="str">
        <f>IFERROR(_xlfn.IFNA(IF($BA265="No",0,IF(INDEX(Constants!D:D,MATCH(($I265/12),Constants!$A:$A,0))=0,0,INDEX(Constants!D:D,MATCH(($I265/12),Constants!$A:$A,0)))),0),"")</f>
        <v/>
      </c>
      <c r="AT265" s="146" t="str">
        <f>IFERROR(_xlfn.IFNA(IF($BA265="No",0,IF(INDEX(Constants!E:E,MATCH(($I265/12),Constants!$A:$A,0))=0,0,INDEX(Constants!E:E,MATCH(($I265/12),Constants!$A:$A,0)))),0),"")</f>
        <v/>
      </c>
      <c r="AU265" s="146" t="str">
        <f>IFERROR(_xlfn.IFNA(IF($BA265="No",0,IF(INDEX(Constants!F:F,MATCH(($I265/12),Constants!$A:$A,0))=0,0,INDEX(Constants!F:F,MATCH(($I265/12),Constants!$A:$A,0)))),0),"")</f>
        <v/>
      </c>
      <c r="AV265" s="146" t="str">
        <f>IFERROR(_xlfn.IFNA(IF($BA265="No",0,IF(INDEX(Constants!G:G,MATCH(($I265/12),Constants!$A:$A,0))=0,0,INDEX(Constants!G:G,MATCH(($I265/12),Constants!$A:$A,0)))),0),"")</f>
        <v/>
      </c>
      <c r="AW265" s="146" t="str">
        <f>IFERROR(_xlfn.IFNA(IF($BA265="No",0,IF(INDEX(Constants!H:H,MATCH(($I265/12),Constants!$A:$A,0))=0,0,INDEX(Constants!H:H,MATCH(($I265/12),Constants!$A:$A,0)))),0),"")</f>
        <v/>
      </c>
      <c r="AX265" s="146" t="str">
        <f>IFERROR(_xlfn.IFNA(IF($BA265="No",0,IF(INDEX(Constants!I:I,MATCH(($I265/12),Constants!$A:$A,0))=0,0,INDEX(Constants!I:I,MATCH(($I265/12),Constants!$A:$A,0)))),0),"")</f>
        <v/>
      </c>
      <c r="AY265" s="146" t="str">
        <f>IFERROR(_xlfn.IFNA(IF($BA265="No",0,IF(INDEX(Constants!J:J,MATCH(($I265/12),Constants!$A:$A,0))=0,0,INDEX(Constants!J:J,MATCH(($I265/12),Constants!$A:$A,0)))),0),"")</f>
        <v/>
      </c>
      <c r="AZ265" s="146" t="str">
        <f>IFERROR(_xlfn.IFNA(IF($BA265="No",0,IF(INDEX(Constants!K:K,MATCH(($I265/12),Constants!$A:$A,0))=0,0,INDEX(Constants!K:K,MATCH(($I265/12),Constants!$A:$A,0)))),0),"")</f>
        <v/>
      </c>
      <c r="BA265" s="147" t="str">
        <f>_xlfn.IFNA(INDEX(Producer!$L:$L,MATCH($D265,Producer!$A:$A,0)),"")</f>
        <v/>
      </c>
      <c r="BB265" s="146" t="str">
        <f>IFERROR(IF(AQ265=0,"",IF(($I265/12)=15,_xlfn.CONCAT(Constants!$N$7,TEXT(DATE(YEAR(H265)-(($I265/12)-3),MONTH(H265),DAY(H265)),"dd/mm/yyyy"),", ",Constants!$P$7,TEXT(DATE(YEAR(H265)-(($I265/12)-8),MONTH(H265),DAY(H265)),"dd/mm/yyyy"),", ",Constants!$T$7,TEXT(DATE(YEAR(H265)-(($I265/12)-11),MONTH(H265),DAY(H265)),"dd/mm/yyyy"),", ",Constants!$V$7,TEXT(DATE(YEAR(H265)-(($I265/12)-13),MONTH(H265),DAY(H265)),"dd/mm/yyyy"),", ",Constants!$W$7,TEXT($H265,"dd/mm/yyyy")),IF(($I265/12)=10,_xlfn.CONCAT(Constants!$N$6,TEXT(DATE(YEAR(H265)-(($I265/12)-2),MONTH(H265),DAY(H265)),"dd/mm/yyyy"),", ",Constants!$P$6,TEXT(DATE(YEAR(H265)-(($I265/12)-6),MONTH(H265),DAY(H265)),"dd/mm/yyyy"),", ",Constants!$T$6,TEXT(DATE(YEAR(H265)-(($I265/12)-8),MONTH(H265),DAY(H265)),"dd/mm/yyyy"),", ",Constants!$V$6,TEXT(DATE(YEAR(H265)-(($I265/12)-9),MONTH(H265),DAY(H265)),"dd/mm/yyyy"),", ",Constants!$W$6,TEXT($H265,"dd/mm/yyyy")),IF(($I265/12)=5,_xlfn.CONCAT(Constants!$N$5,TEXT(DATE(YEAR(H265)-(($I265/12)-1),MONTH(H265),DAY(H265)),"dd/mm/yyyy"),", ",Constants!$O$5,TEXT(DATE(YEAR(H265)-(($I265/12)-2),MONTH(H265),DAY(H265)),"dd/mm/yyyy"),", ",Constants!$P$5,TEXT(DATE(YEAR(H265)-(($I265/12)-3),MONTH(H265),DAY(H265)),"dd/mm/yyyy"),", ",Constants!$Q$5,TEXT(DATE(YEAR(H265)-(($I265/12)-4),MONTH(H265),DAY(H265)),"dd/mm/yyyy"),", ",Constants!$R$5,TEXT($H265,"dd/mm/yyyy")),IF(($I265/12)=3,_xlfn.CONCAT(Constants!$N$4,TEXT(DATE(YEAR(H265)-(($I265/12)-1),MONTH(H265),DAY(H265)),"dd/mm/yyyy"),", ",Constants!$O$4,TEXT(DATE(YEAR(H265)-(($I265/12)-2),MONTH(H265),DAY(H265)),"dd/mm/yyyy"),", ",Constants!$P$4,TEXT($H265,"dd/mm/yyyy")),IF(($I265/12)=2,_xlfn.CONCAT(Constants!$N$3,TEXT(DATE(YEAR(H265)-(($I265/12)-1),MONTH(H265),DAY(H265)),"dd/mm/yyyy"),", ",Constants!$O$3,TEXT($H265,"dd/mm/yyyy")),IF(($I265/12)=1,_xlfn.CONCAT(Constants!$N$2,TEXT($H265,"dd/mm/yyyy")),"Update Constants"))))))),"")</f>
        <v/>
      </c>
      <c r="BC265" s="147" t="str">
        <f>_xlfn.IFNA(VALUE(INDEX(Producer!$K:$K,MATCH($D265,Producer!$A:$A,0))),"")</f>
        <v/>
      </c>
      <c r="BD265" s="147" t="str">
        <f>_xlfn.IFNA(INDEX(Producer!$I:$I,MATCH($D265,Producer!$A:$A,0)),"")</f>
        <v/>
      </c>
      <c r="BE265" s="147" t="str">
        <f t="shared" si="120"/>
        <v/>
      </c>
      <c r="BF265" s="147"/>
      <c r="BG265" s="147"/>
      <c r="BH265" s="151" t="str">
        <f>_xlfn.IFNA(INDEX(Constants!$B:$B,MATCH(BC265,Constants!A:A,0)),"")</f>
        <v/>
      </c>
      <c r="BI265" s="147" t="str">
        <f>IF(LEFT(B265,15)="Limited Company",Constants!$D$16,IFERROR(_xlfn.IFNA(IF(C265="Residential",IF(BK265&lt;75,INDEX(Constants!$B:$B,MATCH(VALUE(60)/100,Constants!$A:$A,0)),INDEX(Constants!$B:$B,MATCH(VALUE(BK265)/100,Constants!$A:$A,0))),IF(BK265&lt;60,INDEX(Constants!$C:$C,MATCH(VALUE(60)/100,Constants!$A:$A,0)),INDEX(Constants!$C:$C,MATCH(VALUE(BK265)/100,Constants!$A:$A,0)))),""),""))</f>
        <v/>
      </c>
      <c r="BJ265" s="147" t="str">
        <f t="shared" si="121"/>
        <v/>
      </c>
      <c r="BK265" s="147" t="str">
        <f>_xlfn.IFNA(VALUE(INDEX(Producer!$E:$E,MATCH($D265,Producer!$A:$A,0)))*100,"")</f>
        <v/>
      </c>
      <c r="BL265" s="146" t="str">
        <f>_xlfn.IFNA(IF(IFERROR(FIND("Part &amp; Part",B265),-10)&gt;0,"PP",IF(OR(LEFT(B265,25)="Residential Interest Only",INDEX(Producer!$P:$P,MATCH($D265,Producer!$A:$A,0))="IO",INDEX(Producer!$P:$P,MATCH($D265,Producer!$A:$A,0))="Retirement Interest Only"),"IO",IF($C265="BuyToLet","CI, IO","CI"))),"")</f>
        <v/>
      </c>
      <c r="BM265" s="152" t="str">
        <f>_xlfn.IFNA(IF(BL265="IO",100%,IF(AND(INDEX(Producer!$P:$P,MATCH($D265,Producer!$A:$A,0))="Residential Interest Only Part &amp; Part",BK265=75),80%,IF(C265="BuyToLet",100%,IF(BL265="Interest Only",100%,IF(AND(INDEX(Producer!$P:$P,MATCH($D265,Producer!$A:$A,0))="Residential Interest Only Part &amp; Part",BK265=60),100%,""))))),"")</f>
        <v/>
      </c>
      <c r="BN265" s="218" t="str">
        <f>_xlfn.IFNA(IF(VALUE(INDEX(Producer!$H:$H,MATCH($D265,Producer!$A:$A,0)))=0,"",VALUE(INDEX(Producer!$H:$H,MATCH($D265,Producer!$A:$A,0)))),"")</f>
        <v/>
      </c>
      <c r="BO265" s="153"/>
      <c r="BP265" s="153"/>
      <c r="BQ265" s="219" t="str">
        <f t="shared" si="122"/>
        <v/>
      </c>
      <c r="BR265" s="146"/>
      <c r="BS265" s="146"/>
      <c r="BT265" s="146"/>
      <c r="BU265" s="146"/>
      <c r="BV265" s="219" t="str">
        <f t="shared" si="123"/>
        <v/>
      </c>
      <c r="BW265" s="146"/>
      <c r="BX265" s="146"/>
      <c r="BY265" s="146" t="str">
        <f t="shared" si="124"/>
        <v/>
      </c>
      <c r="BZ265" s="146" t="str">
        <f t="shared" si="125"/>
        <v/>
      </c>
      <c r="CA265" s="146" t="str">
        <f t="shared" si="126"/>
        <v/>
      </c>
      <c r="CB265" s="146" t="str">
        <f t="shared" si="127"/>
        <v/>
      </c>
      <c r="CC265" s="146" t="str">
        <f>_xlfn.IFNA(IF(INDEX(Producer!$P:$P,MATCH($D265,Producer!$A:$A,0))="Help to Buy","Only available","No"),"")</f>
        <v/>
      </c>
      <c r="CD265" s="146" t="str">
        <f>_xlfn.IFNA(IF(INDEX(Producer!$P:$P,MATCH($D265,Producer!$A:$A,0))="Shared Ownership","Only available","No"),"")</f>
        <v/>
      </c>
      <c r="CE265" s="146" t="str">
        <f>_xlfn.IFNA(IF(INDEX(Producer!$P:$P,MATCH($D265,Producer!$A:$A,0))="Right to Buy","Only available","No"),"")</f>
        <v/>
      </c>
      <c r="CF265" s="146" t="str">
        <f t="shared" si="128"/>
        <v/>
      </c>
      <c r="CG265" s="146" t="str">
        <f>_xlfn.IFNA(IF(INDEX(Producer!$P:$P,MATCH($D265,Producer!$A:$A,0))="Retirement Interest Only","Only available","No"),"")</f>
        <v/>
      </c>
      <c r="CH265" s="146" t="str">
        <f t="shared" si="129"/>
        <v/>
      </c>
      <c r="CI265" s="146" t="str">
        <f>_xlfn.IFNA(IF(INDEX(Producer!$P:$P,MATCH($D265,Producer!$A:$A,0))="Intermediary Holiday Let","Only available","No"),"")</f>
        <v/>
      </c>
      <c r="CJ265" s="146" t="str">
        <f t="shared" si="130"/>
        <v/>
      </c>
      <c r="CK265" s="146" t="str">
        <f>_xlfn.IFNA(IF(OR(INDEX(Producer!$P:$P,MATCH($D265,Producer!$A:$A,0))="Intermediary Small HMO",INDEX(Producer!$P:$P,MATCH($D265,Producer!$A:$A,0))="Intermediary Large HMO"),"Only available","No"),"")</f>
        <v/>
      </c>
      <c r="CL265" s="146" t="str">
        <f t="shared" si="131"/>
        <v/>
      </c>
      <c r="CM265" s="146" t="str">
        <f t="shared" si="132"/>
        <v/>
      </c>
      <c r="CN265" s="146" t="str">
        <f t="shared" si="133"/>
        <v/>
      </c>
      <c r="CO265" s="146" t="str">
        <f t="shared" si="134"/>
        <v/>
      </c>
      <c r="CP265" s="146" t="str">
        <f t="shared" si="135"/>
        <v/>
      </c>
      <c r="CQ265" s="146" t="str">
        <f t="shared" si="136"/>
        <v/>
      </c>
      <c r="CR265" s="146" t="str">
        <f t="shared" si="137"/>
        <v/>
      </c>
      <c r="CS265" s="146" t="str">
        <f t="shared" si="138"/>
        <v/>
      </c>
      <c r="CT265" s="146" t="str">
        <f t="shared" si="139"/>
        <v/>
      </c>
      <c r="CU265" s="146"/>
    </row>
    <row r="266" spans="1:99" ht="16.399999999999999" customHeight="1" x14ac:dyDescent="0.35">
      <c r="A266" s="145" t="str">
        <f t="shared" si="112"/>
        <v/>
      </c>
      <c r="B266" s="145" t="str">
        <f>_xlfn.IFNA(_xlfn.CONCAT(INDEX(Producer!$P:$P,MATCH($D266,Producer!$A:$A,0))," ",IF(INDEX(Producer!$N:$N,MATCH($D266,Producer!$A:$A,0))="Yes","Green ",""),IF(AND(INDEX(Producer!$L:$L,MATCH($D266,Producer!$A:$A,0))="No",INDEX(Producer!$C:$C,MATCH($D266,Producer!$A:$A,0))="Fixed"),"Flexit ",""),INDEX(Producer!$B:$B,MATCH($D266,Producer!$A:$A,0))," Year ",INDEX(Producer!$C:$C,MATCH($D266,Producer!$A:$A,0))," ",VALUE(INDEX(Producer!$E:$E,MATCH($D266,Producer!$A:$A,0)))*100,"% LTV",IF(INDEX(Producer!$N:$N,MATCH($D266,Producer!$A:$A,0))="Yes"," (EPC A-C)","")," - ",IF(INDEX(Producer!$D:$D,MATCH($D266,Producer!$A:$A,0))="DLY","Daily","Annual")),"")</f>
        <v/>
      </c>
      <c r="C266" s="146" t="str">
        <f>_xlfn.IFNA(INDEX(Producer!$Q:$Q,MATCH($D266,Producer!$A:$A,0)),"")</f>
        <v/>
      </c>
      <c r="D266" s="146" t="str">
        <f>IFERROR(VALUE(MID(Producer!$R$2,IF($D265="",1/0,FIND(_xlfn.CONCAT($D264,$D265),Producer!$R$2)+10),5)),"")</f>
        <v/>
      </c>
      <c r="E266" s="146" t="str">
        <f t="shared" si="113"/>
        <v/>
      </c>
      <c r="F266" s="146"/>
      <c r="G266" s="147" t="str">
        <f>_xlfn.IFNA(VALUE(INDEX(Producer!$F:$F,MATCH($D266,Producer!$A:$A,0)))*100,"")</f>
        <v/>
      </c>
      <c r="H266" s="216" t="str">
        <f>_xlfn.IFNA(IFERROR(DATEVALUE(INDEX(Producer!$M:$M,MATCH($D266,Producer!$A:$A,0))),(INDEX(Producer!$M:$M,MATCH($D266,Producer!$A:$A,0)))),"")</f>
        <v/>
      </c>
      <c r="I266" s="217" t="str">
        <f>_xlfn.IFNA(VALUE(INDEX(Producer!$B:$B,MATCH($D266,Producer!$A:$A,0)))*12,"")</f>
        <v/>
      </c>
      <c r="J266" s="146" t="str">
        <f>_xlfn.IFNA(IF(C266="Residential",IF(VALUE(INDEX(Producer!$B:$B,MATCH($D266,Producer!$A:$A,0)))&lt;5,Constants!$C$10,""),IF(VALUE(INDEX(Producer!$B:$B,MATCH($D266,Producer!$A:$A,0)))&lt;5,Constants!$C$11,"")),"")</f>
        <v/>
      </c>
      <c r="K266" s="216" t="str">
        <f>_xlfn.IFNA(IF(($I266)&lt;60,DATE(YEAR(H266)+(5-VALUE(INDEX(Producer!$B:$B,MATCH($D266,Producer!$A:$A,0)))),MONTH(H266),DAY(H266)),""),"")</f>
        <v/>
      </c>
      <c r="L266" s="153" t="str">
        <f t="shared" si="114"/>
        <v/>
      </c>
      <c r="M266" s="146"/>
      <c r="N266" s="148"/>
      <c r="O266" s="148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  <c r="AA266" s="146"/>
      <c r="AB266" s="146"/>
      <c r="AC266" s="146"/>
      <c r="AD266" s="146"/>
      <c r="AE266" s="146"/>
      <c r="AF266" s="146"/>
      <c r="AG266" s="146"/>
      <c r="AH266" s="146"/>
      <c r="AI266" s="146"/>
      <c r="AJ266" s="146"/>
      <c r="AK266" s="146" t="str">
        <f>IF(D266="","",IF(C266="Residential",Constants!$B$10,Constants!$B$11))</f>
        <v/>
      </c>
      <c r="AL266" s="146" t="str">
        <f t="shared" si="115"/>
        <v/>
      </c>
      <c r="AM266" s="206" t="str">
        <f t="shared" si="116"/>
        <v/>
      </c>
      <c r="AN266" s="146" t="str">
        <f t="shared" si="117"/>
        <v/>
      </c>
      <c r="AO266" s="149" t="str">
        <f t="shared" si="118"/>
        <v/>
      </c>
      <c r="AP266" s="150" t="str">
        <f t="shared" si="119"/>
        <v/>
      </c>
      <c r="AQ266" s="146" t="str">
        <f>IFERROR(_xlfn.IFNA(IF($BA266="No",0,IF(INDEX(Constants!B:B,MATCH(($I266/12),Constants!$A:$A,0))=0,0,INDEX(Constants!B:B,MATCH(($I266/12),Constants!$A:$A,0)))),0),"")</f>
        <v/>
      </c>
      <c r="AR266" s="146" t="str">
        <f>IFERROR(_xlfn.IFNA(IF($BA266="No",0,IF(INDEX(Constants!C:C,MATCH(($I266/12),Constants!$A:$A,0))=0,0,INDEX(Constants!C:C,MATCH(($I266/12),Constants!$A:$A,0)))),0),"")</f>
        <v/>
      </c>
      <c r="AS266" s="146" t="str">
        <f>IFERROR(_xlfn.IFNA(IF($BA266="No",0,IF(INDEX(Constants!D:D,MATCH(($I266/12),Constants!$A:$A,0))=0,0,INDEX(Constants!D:D,MATCH(($I266/12),Constants!$A:$A,0)))),0),"")</f>
        <v/>
      </c>
      <c r="AT266" s="146" t="str">
        <f>IFERROR(_xlfn.IFNA(IF($BA266="No",0,IF(INDEX(Constants!E:E,MATCH(($I266/12),Constants!$A:$A,0))=0,0,INDEX(Constants!E:E,MATCH(($I266/12),Constants!$A:$A,0)))),0),"")</f>
        <v/>
      </c>
      <c r="AU266" s="146" t="str">
        <f>IFERROR(_xlfn.IFNA(IF($BA266="No",0,IF(INDEX(Constants!F:F,MATCH(($I266/12),Constants!$A:$A,0))=0,0,INDEX(Constants!F:F,MATCH(($I266/12),Constants!$A:$A,0)))),0),"")</f>
        <v/>
      </c>
      <c r="AV266" s="146" t="str">
        <f>IFERROR(_xlfn.IFNA(IF($BA266="No",0,IF(INDEX(Constants!G:G,MATCH(($I266/12),Constants!$A:$A,0))=0,0,INDEX(Constants!G:G,MATCH(($I266/12),Constants!$A:$A,0)))),0),"")</f>
        <v/>
      </c>
      <c r="AW266" s="146" t="str">
        <f>IFERROR(_xlfn.IFNA(IF($BA266="No",0,IF(INDEX(Constants!H:H,MATCH(($I266/12),Constants!$A:$A,0))=0,0,INDEX(Constants!H:H,MATCH(($I266/12),Constants!$A:$A,0)))),0),"")</f>
        <v/>
      </c>
      <c r="AX266" s="146" t="str">
        <f>IFERROR(_xlfn.IFNA(IF($BA266="No",0,IF(INDEX(Constants!I:I,MATCH(($I266/12),Constants!$A:$A,0))=0,0,INDEX(Constants!I:I,MATCH(($I266/12),Constants!$A:$A,0)))),0),"")</f>
        <v/>
      </c>
      <c r="AY266" s="146" t="str">
        <f>IFERROR(_xlfn.IFNA(IF($BA266="No",0,IF(INDEX(Constants!J:J,MATCH(($I266/12),Constants!$A:$A,0))=0,0,INDEX(Constants!J:J,MATCH(($I266/12),Constants!$A:$A,0)))),0),"")</f>
        <v/>
      </c>
      <c r="AZ266" s="146" t="str">
        <f>IFERROR(_xlfn.IFNA(IF($BA266="No",0,IF(INDEX(Constants!K:K,MATCH(($I266/12),Constants!$A:$A,0))=0,0,INDEX(Constants!K:K,MATCH(($I266/12),Constants!$A:$A,0)))),0),"")</f>
        <v/>
      </c>
      <c r="BA266" s="147" t="str">
        <f>_xlfn.IFNA(INDEX(Producer!$L:$L,MATCH($D266,Producer!$A:$A,0)),"")</f>
        <v/>
      </c>
      <c r="BB266" s="146" t="str">
        <f>IFERROR(IF(AQ266=0,"",IF(($I266/12)=15,_xlfn.CONCAT(Constants!$N$7,TEXT(DATE(YEAR(H266)-(($I266/12)-3),MONTH(H266),DAY(H266)),"dd/mm/yyyy"),", ",Constants!$P$7,TEXT(DATE(YEAR(H266)-(($I266/12)-8),MONTH(H266),DAY(H266)),"dd/mm/yyyy"),", ",Constants!$T$7,TEXT(DATE(YEAR(H266)-(($I266/12)-11),MONTH(H266),DAY(H266)),"dd/mm/yyyy"),", ",Constants!$V$7,TEXT(DATE(YEAR(H266)-(($I266/12)-13),MONTH(H266),DAY(H266)),"dd/mm/yyyy"),", ",Constants!$W$7,TEXT($H266,"dd/mm/yyyy")),IF(($I266/12)=10,_xlfn.CONCAT(Constants!$N$6,TEXT(DATE(YEAR(H266)-(($I266/12)-2),MONTH(H266),DAY(H266)),"dd/mm/yyyy"),", ",Constants!$P$6,TEXT(DATE(YEAR(H266)-(($I266/12)-6),MONTH(H266),DAY(H266)),"dd/mm/yyyy"),", ",Constants!$T$6,TEXT(DATE(YEAR(H266)-(($I266/12)-8),MONTH(H266),DAY(H266)),"dd/mm/yyyy"),", ",Constants!$V$6,TEXT(DATE(YEAR(H266)-(($I266/12)-9),MONTH(H266),DAY(H266)),"dd/mm/yyyy"),", ",Constants!$W$6,TEXT($H266,"dd/mm/yyyy")),IF(($I266/12)=5,_xlfn.CONCAT(Constants!$N$5,TEXT(DATE(YEAR(H266)-(($I266/12)-1),MONTH(H266),DAY(H266)),"dd/mm/yyyy"),", ",Constants!$O$5,TEXT(DATE(YEAR(H266)-(($I266/12)-2),MONTH(H266),DAY(H266)),"dd/mm/yyyy"),", ",Constants!$P$5,TEXT(DATE(YEAR(H266)-(($I266/12)-3),MONTH(H266),DAY(H266)),"dd/mm/yyyy"),", ",Constants!$Q$5,TEXT(DATE(YEAR(H266)-(($I266/12)-4),MONTH(H266),DAY(H266)),"dd/mm/yyyy"),", ",Constants!$R$5,TEXT($H266,"dd/mm/yyyy")),IF(($I266/12)=3,_xlfn.CONCAT(Constants!$N$4,TEXT(DATE(YEAR(H266)-(($I266/12)-1),MONTH(H266),DAY(H266)),"dd/mm/yyyy"),", ",Constants!$O$4,TEXT(DATE(YEAR(H266)-(($I266/12)-2),MONTH(H266),DAY(H266)),"dd/mm/yyyy"),", ",Constants!$P$4,TEXT($H266,"dd/mm/yyyy")),IF(($I266/12)=2,_xlfn.CONCAT(Constants!$N$3,TEXT(DATE(YEAR(H266)-(($I266/12)-1),MONTH(H266),DAY(H266)),"dd/mm/yyyy"),", ",Constants!$O$3,TEXT($H266,"dd/mm/yyyy")),IF(($I266/12)=1,_xlfn.CONCAT(Constants!$N$2,TEXT($H266,"dd/mm/yyyy")),"Update Constants"))))))),"")</f>
        <v/>
      </c>
      <c r="BC266" s="147" t="str">
        <f>_xlfn.IFNA(VALUE(INDEX(Producer!$K:$K,MATCH($D266,Producer!$A:$A,0))),"")</f>
        <v/>
      </c>
      <c r="BD266" s="147" t="str">
        <f>_xlfn.IFNA(INDEX(Producer!$I:$I,MATCH($D266,Producer!$A:$A,0)),"")</f>
        <v/>
      </c>
      <c r="BE266" s="147" t="str">
        <f t="shared" si="120"/>
        <v/>
      </c>
      <c r="BF266" s="147"/>
      <c r="BG266" s="147"/>
      <c r="BH266" s="151" t="str">
        <f>_xlfn.IFNA(INDEX(Constants!$B:$B,MATCH(BC266,Constants!A:A,0)),"")</f>
        <v/>
      </c>
      <c r="BI266" s="147" t="str">
        <f>IF(LEFT(B266,15)="Limited Company",Constants!$D$16,IFERROR(_xlfn.IFNA(IF(C266="Residential",IF(BK266&lt;75,INDEX(Constants!$B:$B,MATCH(VALUE(60)/100,Constants!$A:$A,0)),INDEX(Constants!$B:$B,MATCH(VALUE(BK266)/100,Constants!$A:$A,0))),IF(BK266&lt;60,INDEX(Constants!$C:$C,MATCH(VALUE(60)/100,Constants!$A:$A,0)),INDEX(Constants!$C:$C,MATCH(VALUE(BK266)/100,Constants!$A:$A,0)))),""),""))</f>
        <v/>
      </c>
      <c r="BJ266" s="147" t="str">
        <f t="shared" si="121"/>
        <v/>
      </c>
      <c r="BK266" s="147" t="str">
        <f>_xlfn.IFNA(VALUE(INDEX(Producer!$E:$E,MATCH($D266,Producer!$A:$A,0)))*100,"")</f>
        <v/>
      </c>
      <c r="BL266" s="146" t="str">
        <f>_xlfn.IFNA(IF(IFERROR(FIND("Part &amp; Part",B266),-10)&gt;0,"PP",IF(OR(LEFT(B266,25)="Residential Interest Only",INDEX(Producer!$P:$P,MATCH($D266,Producer!$A:$A,0))="IO",INDEX(Producer!$P:$P,MATCH($D266,Producer!$A:$A,0))="Retirement Interest Only"),"IO",IF($C266="BuyToLet","CI, IO","CI"))),"")</f>
        <v/>
      </c>
      <c r="BM266" s="152" t="str">
        <f>_xlfn.IFNA(IF(BL266="IO",100%,IF(AND(INDEX(Producer!$P:$P,MATCH($D266,Producer!$A:$A,0))="Residential Interest Only Part &amp; Part",BK266=75),80%,IF(C266="BuyToLet",100%,IF(BL266="Interest Only",100%,IF(AND(INDEX(Producer!$P:$P,MATCH($D266,Producer!$A:$A,0))="Residential Interest Only Part &amp; Part",BK266=60),100%,""))))),"")</f>
        <v/>
      </c>
      <c r="BN266" s="218" t="str">
        <f>_xlfn.IFNA(IF(VALUE(INDEX(Producer!$H:$H,MATCH($D266,Producer!$A:$A,0)))=0,"",VALUE(INDEX(Producer!$H:$H,MATCH($D266,Producer!$A:$A,0)))),"")</f>
        <v/>
      </c>
      <c r="BO266" s="153"/>
      <c r="BP266" s="153"/>
      <c r="BQ266" s="219" t="str">
        <f t="shared" si="122"/>
        <v/>
      </c>
      <c r="BR266" s="146"/>
      <c r="BS266" s="146"/>
      <c r="BT266" s="146"/>
      <c r="BU266" s="146"/>
      <c r="BV266" s="219" t="str">
        <f t="shared" si="123"/>
        <v/>
      </c>
      <c r="BW266" s="146"/>
      <c r="BX266" s="146"/>
      <c r="BY266" s="146" t="str">
        <f t="shared" si="124"/>
        <v/>
      </c>
      <c r="BZ266" s="146" t="str">
        <f t="shared" si="125"/>
        <v/>
      </c>
      <c r="CA266" s="146" t="str">
        <f t="shared" si="126"/>
        <v/>
      </c>
      <c r="CB266" s="146" t="str">
        <f t="shared" si="127"/>
        <v/>
      </c>
      <c r="CC266" s="146" t="str">
        <f>_xlfn.IFNA(IF(INDEX(Producer!$P:$P,MATCH($D266,Producer!$A:$A,0))="Help to Buy","Only available","No"),"")</f>
        <v/>
      </c>
      <c r="CD266" s="146" t="str">
        <f>_xlfn.IFNA(IF(INDEX(Producer!$P:$P,MATCH($D266,Producer!$A:$A,0))="Shared Ownership","Only available","No"),"")</f>
        <v/>
      </c>
      <c r="CE266" s="146" t="str">
        <f>_xlfn.IFNA(IF(INDEX(Producer!$P:$P,MATCH($D266,Producer!$A:$A,0))="Right to Buy","Only available","No"),"")</f>
        <v/>
      </c>
      <c r="CF266" s="146" t="str">
        <f t="shared" si="128"/>
        <v/>
      </c>
      <c r="CG266" s="146" t="str">
        <f>_xlfn.IFNA(IF(INDEX(Producer!$P:$P,MATCH($D266,Producer!$A:$A,0))="Retirement Interest Only","Only available","No"),"")</f>
        <v/>
      </c>
      <c r="CH266" s="146" t="str">
        <f t="shared" si="129"/>
        <v/>
      </c>
      <c r="CI266" s="146" t="str">
        <f>_xlfn.IFNA(IF(INDEX(Producer!$P:$P,MATCH($D266,Producer!$A:$A,0))="Intermediary Holiday Let","Only available","No"),"")</f>
        <v/>
      </c>
      <c r="CJ266" s="146" t="str">
        <f t="shared" si="130"/>
        <v/>
      </c>
      <c r="CK266" s="146" t="str">
        <f>_xlfn.IFNA(IF(OR(INDEX(Producer!$P:$P,MATCH($D266,Producer!$A:$A,0))="Intermediary Small HMO",INDEX(Producer!$P:$P,MATCH($D266,Producer!$A:$A,0))="Intermediary Large HMO"),"Only available","No"),"")</f>
        <v/>
      </c>
      <c r="CL266" s="146" t="str">
        <f t="shared" si="131"/>
        <v/>
      </c>
      <c r="CM266" s="146" t="str">
        <f t="shared" si="132"/>
        <v/>
      </c>
      <c r="CN266" s="146" t="str">
        <f t="shared" si="133"/>
        <v/>
      </c>
      <c r="CO266" s="146" t="str">
        <f t="shared" si="134"/>
        <v/>
      </c>
      <c r="CP266" s="146" t="str">
        <f t="shared" si="135"/>
        <v/>
      </c>
      <c r="CQ266" s="146" t="str">
        <f t="shared" si="136"/>
        <v/>
      </c>
      <c r="CR266" s="146" t="str">
        <f t="shared" si="137"/>
        <v/>
      </c>
      <c r="CS266" s="146" t="str">
        <f t="shared" si="138"/>
        <v/>
      </c>
      <c r="CT266" s="146" t="str">
        <f t="shared" si="139"/>
        <v/>
      </c>
      <c r="CU266" s="146"/>
    </row>
    <row r="267" spans="1:99" ht="16.399999999999999" customHeight="1" x14ac:dyDescent="0.35">
      <c r="A267" s="145" t="str">
        <f>IF(B267="","","Leeds Building Society")</f>
        <v/>
      </c>
      <c r="B267" s="145" t="str">
        <f>_xlfn.IFNA(_xlfn.CONCAT(INDEX(Producer!$P:$P,MATCH($D267,Producer!$A:$A,0))," ",IF(INDEX(Producer!$N:$N,MATCH($D267,Producer!$A:$A,0))="Yes","Green ",""),IF(AND(INDEX(Producer!$L:$L,MATCH($D267,Producer!$A:$A,0))="No",INDEX(Producer!$C:$C,MATCH($D267,Producer!$A:$A,0))="Fixed"),"Flexit ",""),INDEX(Producer!$B:$B,MATCH($D267,Producer!$A:$A,0))," Year ",INDEX(Producer!$C:$C,MATCH($D267,Producer!$A:$A,0))," ",VALUE(INDEX(Producer!$E:$E,MATCH($D267,Producer!$A:$A,0)))*100,"% LTV",IF(INDEX(Producer!$N:$N,MATCH($D267,Producer!$A:$A,0))="Yes"," (EPC A-C)","")," - ",IF(INDEX(Producer!$D:$D,MATCH($D267,Producer!$A:$A,0))="DLY","Daily","Annual")),"")</f>
        <v/>
      </c>
      <c r="C267" s="146" t="str">
        <f>_xlfn.IFNA(INDEX(Producer!$Q:$Q,MATCH($D267,Producer!$A:$A,0)),"")</f>
        <v/>
      </c>
      <c r="D267" s="146" t="str">
        <f>IFERROR(VALUE(MID(Producer!$R$2,IF($D266="",1/0,FIND(_xlfn.CONCAT($D265,$D266),Producer!$R$2)+10),5)),"")</f>
        <v/>
      </c>
      <c r="E267" s="146" t="str">
        <f t="shared" si="113"/>
        <v/>
      </c>
      <c r="F267" s="146"/>
      <c r="G267" s="147" t="str">
        <f>_xlfn.IFNA(VALUE(INDEX(Producer!$F:$F,MATCH($D267,Producer!$A:$A,0)))*100,"")</f>
        <v/>
      </c>
      <c r="H267" s="216" t="str">
        <f>_xlfn.IFNA(IFERROR(DATEVALUE(INDEX(Producer!$M:$M,MATCH($D267,Producer!$A:$A,0))),(INDEX(Producer!$M:$M,MATCH($D267,Producer!$A:$A,0)))),"")</f>
        <v/>
      </c>
      <c r="I267" s="217" t="str">
        <f>_xlfn.IFNA(VALUE(INDEX(Producer!$B:$B,MATCH($D267,Producer!$A:$A,0)))*12,"")</f>
        <v/>
      </c>
      <c r="J267" s="146" t="str">
        <f>_xlfn.IFNA(IF(C267="Residential",IF(VALUE(INDEX(Producer!$B:$B,MATCH($D267,Producer!$A:$A,0)))&lt;5,Constants!$C$10,""),IF(VALUE(INDEX(Producer!$B:$B,MATCH($D267,Producer!$A:$A,0)))&lt;5,Constants!$C$11,"")),"")</f>
        <v/>
      </c>
      <c r="K267" s="216" t="str">
        <f>_xlfn.IFNA(IF(($I267)&lt;60,DATE(YEAR(H267)+(5-VALUE(INDEX(Producer!$B:$B,MATCH($D267,Producer!$A:$A,0)))),MONTH(H267),DAY(H267)),""),"")</f>
        <v/>
      </c>
      <c r="L267" s="153" t="str">
        <f t="shared" si="114"/>
        <v/>
      </c>
      <c r="M267" s="146"/>
      <c r="N267" s="148"/>
      <c r="O267" s="148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  <c r="AA267" s="146"/>
      <c r="AB267" s="146"/>
      <c r="AC267" s="146"/>
      <c r="AD267" s="146"/>
      <c r="AE267" s="146"/>
      <c r="AF267" s="146"/>
      <c r="AG267" s="146"/>
      <c r="AH267" s="146"/>
      <c r="AI267" s="146"/>
      <c r="AJ267" s="146"/>
      <c r="AK267" s="146" t="str">
        <f>IF(D267="","",IF(C267="Residential",Constants!$B$10,Constants!$B$11))</f>
        <v/>
      </c>
      <c r="AL267" s="146" t="str">
        <f t="shared" si="115"/>
        <v/>
      </c>
      <c r="AM267" s="206" t="str">
        <f t="shared" si="116"/>
        <v/>
      </c>
      <c r="AN267" s="146" t="str">
        <f t="shared" si="117"/>
        <v/>
      </c>
      <c r="AO267" s="149" t="str">
        <f t="shared" si="118"/>
        <v/>
      </c>
      <c r="AP267" s="150" t="str">
        <f t="shared" si="119"/>
        <v/>
      </c>
      <c r="AQ267" s="146" t="str">
        <f>IFERROR(_xlfn.IFNA(IF($BA267="No",0,IF(INDEX(Constants!B:B,MATCH(($I267/12),Constants!$A:$A,0))=0,0,INDEX(Constants!B:B,MATCH(($I267/12),Constants!$A:$A,0)))),0),"")</f>
        <v/>
      </c>
      <c r="AR267" s="146" t="str">
        <f>IFERROR(_xlfn.IFNA(IF($BA267="No",0,IF(INDEX(Constants!C:C,MATCH(($I267/12),Constants!$A:$A,0))=0,0,INDEX(Constants!C:C,MATCH(($I267/12),Constants!$A:$A,0)))),0),"")</f>
        <v/>
      </c>
      <c r="AS267" s="146" t="str">
        <f>IFERROR(_xlfn.IFNA(IF($BA267="No",0,IF(INDEX(Constants!D:D,MATCH(($I267/12),Constants!$A:$A,0))=0,0,INDEX(Constants!D:D,MATCH(($I267/12),Constants!$A:$A,0)))),0),"")</f>
        <v/>
      </c>
      <c r="AT267" s="146" t="str">
        <f>IFERROR(_xlfn.IFNA(IF($BA267="No",0,IF(INDEX(Constants!E:E,MATCH(($I267/12),Constants!$A:$A,0))=0,0,INDEX(Constants!E:E,MATCH(($I267/12),Constants!$A:$A,0)))),0),"")</f>
        <v/>
      </c>
      <c r="AU267" s="146" t="str">
        <f>IFERROR(_xlfn.IFNA(IF($BA267="No",0,IF(INDEX(Constants!F:F,MATCH(($I267/12),Constants!$A:$A,0))=0,0,INDEX(Constants!F:F,MATCH(($I267/12),Constants!$A:$A,0)))),0),"")</f>
        <v/>
      </c>
      <c r="AV267" s="146" t="str">
        <f>IFERROR(_xlfn.IFNA(IF($BA267="No",0,IF(INDEX(Constants!G:G,MATCH(($I267/12),Constants!$A:$A,0))=0,0,INDEX(Constants!G:G,MATCH(($I267/12),Constants!$A:$A,0)))),0),"")</f>
        <v/>
      </c>
      <c r="AW267" s="146" t="str">
        <f>IFERROR(_xlfn.IFNA(IF($BA267="No",0,IF(INDEX(Constants!H:H,MATCH(($I267/12),Constants!$A:$A,0))=0,0,INDEX(Constants!H:H,MATCH(($I267/12),Constants!$A:$A,0)))),0),"")</f>
        <v/>
      </c>
      <c r="AX267" s="146" t="str">
        <f>IFERROR(_xlfn.IFNA(IF($BA267="No",0,IF(INDEX(Constants!I:I,MATCH(($I267/12),Constants!$A:$A,0))=0,0,INDEX(Constants!I:I,MATCH(($I267/12),Constants!$A:$A,0)))),0),"")</f>
        <v/>
      </c>
      <c r="AY267" s="146" t="str">
        <f>IFERROR(_xlfn.IFNA(IF($BA267="No",0,IF(INDEX(Constants!J:J,MATCH(($I267/12),Constants!$A:$A,0))=0,0,INDEX(Constants!J:J,MATCH(($I267/12),Constants!$A:$A,0)))),0),"")</f>
        <v/>
      </c>
      <c r="AZ267" s="146" t="str">
        <f>IFERROR(_xlfn.IFNA(IF($BA267="No",0,IF(INDEX(Constants!K:K,MATCH(($I267/12),Constants!$A:$A,0))=0,0,INDEX(Constants!K:K,MATCH(($I267/12),Constants!$A:$A,0)))),0),"")</f>
        <v/>
      </c>
      <c r="BA267" s="147" t="str">
        <f>_xlfn.IFNA(INDEX(Producer!$L:$L,MATCH($D267,Producer!$A:$A,0)),"")</f>
        <v/>
      </c>
      <c r="BB267" s="146" t="str">
        <f>IFERROR(IF(AQ267=0,"",IF(($I267/12)=15,_xlfn.CONCAT(Constants!$N$7,TEXT(DATE(YEAR(H267)-(($I267/12)-3),MONTH(H267),DAY(H267)),"dd/mm/yyyy"),", ",Constants!$P$7,TEXT(DATE(YEAR(H267)-(($I267/12)-8),MONTH(H267),DAY(H267)),"dd/mm/yyyy"),", ",Constants!$T$7,TEXT(DATE(YEAR(H267)-(($I267/12)-11),MONTH(H267),DAY(H267)),"dd/mm/yyyy"),", ",Constants!$V$7,TEXT(DATE(YEAR(H267)-(($I267/12)-13),MONTH(H267),DAY(H267)),"dd/mm/yyyy"),", ",Constants!$W$7,TEXT($H267,"dd/mm/yyyy")),IF(($I267/12)=10,_xlfn.CONCAT(Constants!$N$6,TEXT(DATE(YEAR(H267)-(($I267/12)-2),MONTH(H267),DAY(H267)),"dd/mm/yyyy"),", ",Constants!$P$6,TEXT(DATE(YEAR(H267)-(($I267/12)-6),MONTH(H267),DAY(H267)),"dd/mm/yyyy"),", ",Constants!$T$6,TEXT(DATE(YEAR(H267)-(($I267/12)-8),MONTH(H267),DAY(H267)),"dd/mm/yyyy"),", ",Constants!$V$6,TEXT(DATE(YEAR(H267)-(($I267/12)-9),MONTH(H267),DAY(H267)),"dd/mm/yyyy"),", ",Constants!$W$6,TEXT($H267,"dd/mm/yyyy")),IF(($I267/12)=5,_xlfn.CONCAT(Constants!$N$5,TEXT(DATE(YEAR(H267)-(($I267/12)-1),MONTH(H267),DAY(H267)),"dd/mm/yyyy"),", ",Constants!$O$5,TEXT(DATE(YEAR(H267)-(($I267/12)-2),MONTH(H267),DAY(H267)),"dd/mm/yyyy"),", ",Constants!$P$5,TEXT(DATE(YEAR(H267)-(($I267/12)-3),MONTH(H267),DAY(H267)),"dd/mm/yyyy"),", ",Constants!$Q$5,TEXT(DATE(YEAR(H267)-(($I267/12)-4),MONTH(H267),DAY(H267)),"dd/mm/yyyy"),", ",Constants!$R$5,TEXT($H267,"dd/mm/yyyy")),IF(($I267/12)=3,_xlfn.CONCAT(Constants!$N$4,TEXT(DATE(YEAR(H267)-(($I267/12)-1),MONTH(H267),DAY(H267)),"dd/mm/yyyy"),", ",Constants!$O$4,TEXT(DATE(YEAR(H267)-(($I267/12)-2),MONTH(H267),DAY(H267)),"dd/mm/yyyy"),", ",Constants!$P$4,TEXT($H267,"dd/mm/yyyy")),IF(($I267/12)=2,_xlfn.CONCAT(Constants!$N$3,TEXT(DATE(YEAR(H267)-(($I267/12)-1),MONTH(H267),DAY(H267)),"dd/mm/yyyy"),", ",Constants!$O$3,TEXT($H267,"dd/mm/yyyy")),IF(($I267/12)=1,_xlfn.CONCAT(Constants!$N$2,TEXT($H267,"dd/mm/yyyy")),"Update Constants"))))))),"")</f>
        <v/>
      </c>
      <c r="BC267" s="147" t="str">
        <f>_xlfn.IFNA(VALUE(INDEX(Producer!$K:$K,MATCH($D267,Producer!$A:$A,0))),"")</f>
        <v/>
      </c>
      <c r="BD267" s="147" t="str">
        <f>_xlfn.IFNA(INDEX(Producer!$I:$I,MATCH($D267,Producer!$A:$A,0)),"")</f>
        <v/>
      </c>
      <c r="BE267" s="147" t="str">
        <f t="shared" si="120"/>
        <v/>
      </c>
      <c r="BF267" s="147"/>
      <c r="BG267" s="147"/>
      <c r="BH267" s="151" t="str">
        <f>_xlfn.IFNA(INDEX(Constants!$B:$B,MATCH(BC267,Constants!A:A,0)),"")</f>
        <v/>
      </c>
      <c r="BI267" s="147" t="str">
        <f>IF(LEFT(B267,15)="Limited Company",Constants!$D$16,IFERROR(_xlfn.IFNA(IF(C267="Residential",IF(BK267&lt;75,INDEX(Constants!$B:$B,MATCH(VALUE(60)/100,Constants!$A:$A,0)),INDEX(Constants!$B:$B,MATCH(VALUE(BK267)/100,Constants!$A:$A,0))),IF(BK267&lt;60,INDEX(Constants!$C:$C,MATCH(VALUE(60)/100,Constants!$A:$A,0)),INDEX(Constants!$C:$C,MATCH(VALUE(BK267)/100,Constants!$A:$A,0)))),""),""))</f>
        <v/>
      </c>
      <c r="BJ267" s="147" t="str">
        <f t="shared" si="121"/>
        <v/>
      </c>
      <c r="BK267" s="147" t="str">
        <f>_xlfn.IFNA(VALUE(INDEX(Producer!$E:$E,MATCH($D267,Producer!$A:$A,0)))*100,"")</f>
        <v/>
      </c>
      <c r="BL267" s="146" t="str">
        <f>_xlfn.IFNA(IF(IFERROR(FIND("Part &amp; Part",B267),-10)&gt;0,"PP",IF(OR(LEFT(B267,25)="Residential Interest Only",INDEX(Producer!$P:$P,MATCH($D267,Producer!$A:$A,0))="IO",INDEX(Producer!$P:$P,MATCH($D267,Producer!$A:$A,0))="Retirement Interest Only"),"IO",IF($C267="BuyToLet","CI, IO","CI"))),"")</f>
        <v/>
      </c>
      <c r="BM267" s="152" t="str">
        <f>_xlfn.IFNA(IF(BL267="IO",100%,IF(AND(INDEX(Producer!$P:$P,MATCH($D267,Producer!$A:$A,0))="Residential Interest Only Part &amp; Part",BK267=75),80%,IF(C267="BuyToLet",100%,IF(BL267="Interest Only",100%,IF(AND(INDEX(Producer!$P:$P,MATCH($D267,Producer!$A:$A,0))="Residential Interest Only Part &amp; Part",BK267=60),100%,""))))),"")</f>
        <v/>
      </c>
      <c r="BN267" s="218" t="str">
        <f>_xlfn.IFNA(IF(VALUE(INDEX(Producer!$H:$H,MATCH($D267,Producer!$A:$A,0)))=0,"",VALUE(INDEX(Producer!$H:$H,MATCH($D267,Producer!$A:$A,0)))),"")</f>
        <v/>
      </c>
      <c r="BO267" s="153"/>
      <c r="BP267" s="153"/>
      <c r="BQ267" s="219" t="str">
        <f t="shared" si="122"/>
        <v/>
      </c>
      <c r="BR267" s="146"/>
      <c r="BS267" s="146"/>
      <c r="BT267" s="146"/>
      <c r="BU267" s="146"/>
      <c r="BV267" s="219" t="str">
        <f t="shared" si="123"/>
        <v/>
      </c>
      <c r="BW267" s="146"/>
      <c r="BX267" s="146"/>
      <c r="BY267" s="146" t="str">
        <f t="shared" si="124"/>
        <v/>
      </c>
      <c r="BZ267" s="146" t="str">
        <f t="shared" si="125"/>
        <v/>
      </c>
      <c r="CA267" s="146" t="str">
        <f t="shared" si="126"/>
        <v/>
      </c>
      <c r="CB267" s="146" t="str">
        <f t="shared" si="127"/>
        <v/>
      </c>
      <c r="CC267" s="146" t="str">
        <f>_xlfn.IFNA(IF(INDEX(Producer!$P:$P,MATCH($D267,Producer!$A:$A,0))="Help to Buy","Only available","No"),"")</f>
        <v/>
      </c>
      <c r="CD267" s="146" t="str">
        <f>_xlfn.IFNA(IF(INDEX(Producer!$P:$P,MATCH($D267,Producer!$A:$A,0))="Shared Ownership","Only available","No"),"")</f>
        <v/>
      </c>
      <c r="CE267" s="146" t="str">
        <f>_xlfn.IFNA(IF(INDEX(Producer!$P:$P,MATCH($D267,Producer!$A:$A,0))="Right to Buy","Only available","No"),"")</f>
        <v/>
      </c>
      <c r="CF267" s="146" t="str">
        <f t="shared" si="128"/>
        <v/>
      </c>
      <c r="CG267" s="146" t="str">
        <f>_xlfn.IFNA(IF(INDEX(Producer!$P:$P,MATCH($D267,Producer!$A:$A,0))="Retirement Interest Only","Only available","No"),"")</f>
        <v/>
      </c>
      <c r="CH267" s="146" t="str">
        <f t="shared" si="129"/>
        <v/>
      </c>
      <c r="CI267" s="146" t="str">
        <f>_xlfn.IFNA(IF(INDEX(Producer!$P:$P,MATCH($D267,Producer!$A:$A,0))="Intermediary Holiday Let","Only available","No"),"")</f>
        <v/>
      </c>
      <c r="CJ267" s="146" t="str">
        <f t="shared" si="130"/>
        <v/>
      </c>
      <c r="CK267" s="146" t="str">
        <f>_xlfn.IFNA(IF(OR(INDEX(Producer!$P:$P,MATCH($D267,Producer!$A:$A,0))="Intermediary Small HMO",INDEX(Producer!$P:$P,MATCH($D267,Producer!$A:$A,0))="Intermediary Large HMO"),"Only available","No"),"")</f>
        <v/>
      </c>
      <c r="CL267" s="146" t="str">
        <f t="shared" si="131"/>
        <v/>
      </c>
      <c r="CM267" s="146" t="str">
        <f t="shared" si="132"/>
        <v/>
      </c>
      <c r="CN267" s="146" t="str">
        <f t="shared" si="133"/>
        <v/>
      </c>
      <c r="CO267" s="146" t="str">
        <f t="shared" si="134"/>
        <v/>
      </c>
      <c r="CP267" s="146" t="str">
        <f t="shared" si="135"/>
        <v/>
      </c>
      <c r="CQ267" s="146" t="str">
        <f t="shared" si="136"/>
        <v/>
      </c>
      <c r="CR267" s="146" t="str">
        <f t="shared" si="137"/>
        <v/>
      </c>
      <c r="CS267" s="146" t="str">
        <f t="shared" si="138"/>
        <v/>
      </c>
      <c r="CT267" s="146" t="str">
        <f t="shared" si="139"/>
        <v/>
      </c>
      <c r="CU267" s="146"/>
    </row>
    <row r="268" spans="1:99" ht="16.399999999999999" customHeight="1" x14ac:dyDescent="0.35">
      <c r="A268" s="145" t="str">
        <f t="shared" si="112"/>
        <v/>
      </c>
      <c r="B268" s="145" t="str">
        <f>_xlfn.IFNA(_xlfn.CONCAT(INDEX(Producer!$P:$P,MATCH($D268,Producer!$A:$A,0))," ",IF(INDEX(Producer!$N:$N,MATCH($D268,Producer!$A:$A,0))="Yes","Green ",""),IF(AND(INDEX(Producer!$L:$L,MATCH($D268,Producer!$A:$A,0))="No",INDEX(Producer!$C:$C,MATCH($D268,Producer!$A:$A,0))="Fixed"),"Flexit ",""),INDEX(Producer!$B:$B,MATCH($D268,Producer!$A:$A,0))," Year ",INDEX(Producer!$C:$C,MATCH($D268,Producer!$A:$A,0))," ",VALUE(INDEX(Producer!$E:$E,MATCH($D268,Producer!$A:$A,0)))*100,"% LTV",IF(INDEX(Producer!$N:$N,MATCH($D268,Producer!$A:$A,0))="Yes"," (EPC A-C)","")," - ",IF(INDEX(Producer!$D:$D,MATCH($D268,Producer!$A:$A,0))="DLY","Daily","Annual")),"")</f>
        <v/>
      </c>
      <c r="C268" s="146" t="str">
        <f>_xlfn.IFNA(INDEX(Producer!$Q:$Q,MATCH($D268,Producer!$A:$A,0)),"")</f>
        <v/>
      </c>
      <c r="D268" s="146" t="str">
        <f>IFERROR(VALUE(MID(Producer!$R$2,IF($D267="",1/0,FIND(_xlfn.CONCAT($D266,$D267),Producer!$R$2)+10),5)),"")</f>
        <v/>
      </c>
      <c r="E268" s="146" t="str">
        <f t="shared" si="113"/>
        <v/>
      </c>
      <c r="F268" s="146"/>
      <c r="G268" s="147" t="str">
        <f>_xlfn.IFNA(VALUE(INDEX(Producer!$F:$F,MATCH($D268,Producer!$A:$A,0)))*100,"")</f>
        <v/>
      </c>
      <c r="H268" s="216" t="str">
        <f>_xlfn.IFNA(IFERROR(DATEVALUE(INDEX(Producer!$M:$M,MATCH($D268,Producer!$A:$A,0))),(INDEX(Producer!$M:$M,MATCH($D268,Producer!$A:$A,0)))),"")</f>
        <v/>
      </c>
      <c r="I268" s="217" t="str">
        <f>_xlfn.IFNA(VALUE(INDEX(Producer!$B:$B,MATCH($D268,Producer!$A:$A,0)))*12,"")</f>
        <v/>
      </c>
      <c r="J268" s="146" t="str">
        <f>_xlfn.IFNA(IF(C268="Residential",IF(VALUE(INDEX(Producer!$B:$B,MATCH($D268,Producer!$A:$A,0)))&lt;5,Constants!$C$10,""),IF(VALUE(INDEX(Producer!$B:$B,MATCH($D268,Producer!$A:$A,0)))&lt;5,Constants!$C$11,"")),"")</f>
        <v/>
      </c>
      <c r="K268" s="216" t="str">
        <f>_xlfn.IFNA(IF(($I268)&lt;60,DATE(YEAR(H268)+(5-VALUE(INDEX(Producer!$B:$B,MATCH($D268,Producer!$A:$A,0)))),MONTH(H268),DAY(H268)),""),"")</f>
        <v/>
      </c>
      <c r="L268" s="153" t="str">
        <f t="shared" si="114"/>
        <v/>
      </c>
      <c r="M268" s="146"/>
      <c r="N268" s="148"/>
      <c r="O268" s="148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  <c r="AD268" s="146"/>
      <c r="AE268" s="146"/>
      <c r="AF268" s="146"/>
      <c r="AG268" s="146"/>
      <c r="AH268" s="146"/>
      <c r="AI268" s="146"/>
      <c r="AJ268" s="146"/>
      <c r="AK268" s="146" t="str">
        <f>IF(D268="","",IF(C268="Residential",Constants!$B$10,Constants!$B$11))</f>
        <v/>
      </c>
      <c r="AL268" s="146" t="str">
        <f t="shared" si="115"/>
        <v/>
      </c>
      <c r="AM268" s="206" t="str">
        <f t="shared" si="116"/>
        <v/>
      </c>
      <c r="AN268" s="146" t="str">
        <f t="shared" si="117"/>
        <v/>
      </c>
      <c r="AO268" s="149" t="str">
        <f t="shared" si="118"/>
        <v/>
      </c>
      <c r="AP268" s="150" t="str">
        <f t="shared" si="119"/>
        <v/>
      </c>
      <c r="AQ268" s="146" t="str">
        <f>IFERROR(_xlfn.IFNA(IF($BA268="No",0,IF(INDEX(Constants!B:B,MATCH(($I268/12),Constants!$A:$A,0))=0,0,INDEX(Constants!B:B,MATCH(($I268/12),Constants!$A:$A,0)))),0),"")</f>
        <v/>
      </c>
      <c r="AR268" s="146" t="str">
        <f>IFERROR(_xlfn.IFNA(IF($BA268="No",0,IF(INDEX(Constants!C:C,MATCH(($I268/12),Constants!$A:$A,0))=0,0,INDEX(Constants!C:C,MATCH(($I268/12),Constants!$A:$A,0)))),0),"")</f>
        <v/>
      </c>
      <c r="AS268" s="146" t="str">
        <f>IFERROR(_xlfn.IFNA(IF($BA268="No",0,IF(INDEX(Constants!D:D,MATCH(($I268/12),Constants!$A:$A,0))=0,0,INDEX(Constants!D:D,MATCH(($I268/12),Constants!$A:$A,0)))),0),"")</f>
        <v/>
      </c>
      <c r="AT268" s="146" t="str">
        <f>IFERROR(_xlfn.IFNA(IF($BA268="No",0,IF(INDEX(Constants!E:E,MATCH(($I268/12),Constants!$A:$A,0))=0,0,INDEX(Constants!E:E,MATCH(($I268/12),Constants!$A:$A,0)))),0),"")</f>
        <v/>
      </c>
      <c r="AU268" s="146" t="str">
        <f>IFERROR(_xlfn.IFNA(IF($BA268="No",0,IF(INDEX(Constants!F:F,MATCH(($I268/12),Constants!$A:$A,0))=0,0,INDEX(Constants!F:F,MATCH(($I268/12),Constants!$A:$A,0)))),0),"")</f>
        <v/>
      </c>
      <c r="AV268" s="146" t="str">
        <f>IFERROR(_xlfn.IFNA(IF($BA268="No",0,IF(INDEX(Constants!G:G,MATCH(($I268/12),Constants!$A:$A,0))=0,0,INDEX(Constants!G:G,MATCH(($I268/12),Constants!$A:$A,0)))),0),"")</f>
        <v/>
      </c>
      <c r="AW268" s="146" t="str">
        <f>IFERROR(_xlfn.IFNA(IF($BA268="No",0,IF(INDEX(Constants!H:H,MATCH(($I268/12),Constants!$A:$A,0))=0,0,INDEX(Constants!H:H,MATCH(($I268/12),Constants!$A:$A,0)))),0),"")</f>
        <v/>
      </c>
      <c r="AX268" s="146" t="str">
        <f>IFERROR(_xlfn.IFNA(IF($BA268="No",0,IF(INDEX(Constants!I:I,MATCH(($I268/12),Constants!$A:$A,0))=0,0,INDEX(Constants!I:I,MATCH(($I268/12),Constants!$A:$A,0)))),0),"")</f>
        <v/>
      </c>
      <c r="AY268" s="146" t="str">
        <f>IFERROR(_xlfn.IFNA(IF($BA268="No",0,IF(INDEX(Constants!J:J,MATCH(($I268/12),Constants!$A:$A,0))=0,0,INDEX(Constants!J:J,MATCH(($I268/12),Constants!$A:$A,0)))),0),"")</f>
        <v/>
      </c>
      <c r="AZ268" s="146" t="str">
        <f>IFERROR(_xlfn.IFNA(IF($BA268="No",0,IF(INDEX(Constants!K:K,MATCH(($I268/12),Constants!$A:$A,0))=0,0,INDEX(Constants!K:K,MATCH(($I268/12),Constants!$A:$A,0)))),0),"")</f>
        <v/>
      </c>
      <c r="BA268" s="147" t="str">
        <f>_xlfn.IFNA(INDEX(Producer!$L:$L,MATCH($D268,Producer!$A:$A,0)),"")</f>
        <v/>
      </c>
      <c r="BB268" s="146" t="str">
        <f>IFERROR(IF(AQ268=0,"",IF(($I268/12)=15,_xlfn.CONCAT(Constants!$N$7,TEXT(DATE(YEAR(H268)-(($I268/12)-3),MONTH(H268),DAY(H268)),"dd/mm/yyyy"),", ",Constants!$P$7,TEXT(DATE(YEAR(H268)-(($I268/12)-8),MONTH(H268),DAY(H268)),"dd/mm/yyyy"),", ",Constants!$T$7,TEXT(DATE(YEAR(H268)-(($I268/12)-11),MONTH(H268),DAY(H268)),"dd/mm/yyyy"),", ",Constants!$V$7,TEXT(DATE(YEAR(H268)-(($I268/12)-13),MONTH(H268),DAY(H268)),"dd/mm/yyyy"),", ",Constants!$W$7,TEXT($H268,"dd/mm/yyyy")),IF(($I268/12)=10,_xlfn.CONCAT(Constants!$N$6,TEXT(DATE(YEAR(H268)-(($I268/12)-2),MONTH(H268),DAY(H268)),"dd/mm/yyyy"),", ",Constants!$P$6,TEXT(DATE(YEAR(H268)-(($I268/12)-6),MONTH(H268),DAY(H268)),"dd/mm/yyyy"),", ",Constants!$T$6,TEXT(DATE(YEAR(H268)-(($I268/12)-8),MONTH(H268),DAY(H268)),"dd/mm/yyyy"),", ",Constants!$V$6,TEXT(DATE(YEAR(H268)-(($I268/12)-9),MONTH(H268),DAY(H268)),"dd/mm/yyyy"),", ",Constants!$W$6,TEXT($H268,"dd/mm/yyyy")),IF(($I268/12)=5,_xlfn.CONCAT(Constants!$N$5,TEXT(DATE(YEAR(H268)-(($I268/12)-1),MONTH(H268),DAY(H268)),"dd/mm/yyyy"),", ",Constants!$O$5,TEXT(DATE(YEAR(H268)-(($I268/12)-2),MONTH(H268),DAY(H268)),"dd/mm/yyyy"),", ",Constants!$P$5,TEXT(DATE(YEAR(H268)-(($I268/12)-3),MONTH(H268),DAY(H268)),"dd/mm/yyyy"),", ",Constants!$Q$5,TEXT(DATE(YEAR(H268)-(($I268/12)-4),MONTH(H268),DAY(H268)),"dd/mm/yyyy"),", ",Constants!$R$5,TEXT($H268,"dd/mm/yyyy")),IF(($I268/12)=3,_xlfn.CONCAT(Constants!$N$4,TEXT(DATE(YEAR(H268)-(($I268/12)-1),MONTH(H268),DAY(H268)),"dd/mm/yyyy"),", ",Constants!$O$4,TEXT(DATE(YEAR(H268)-(($I268/12)-2),MONTH(H268),DAY(H268)),"dd/mm/yyyy"),", ",Constants!$P$4,TEXT($H268,"dd/mm/yyyy")),IF(($I268/12)=2,_xlfn.CONCAT(Constants!$N$3,TEXT(DATE(YEAR(H268)-(($I268/12)-1),MONTH(H268),DAY(H268)),"dd/mm/yyyy"),", ",Constants!$O$3,TEXT($H268,"dd/mm/yyyy")),IF(($I268/12)=1,_xlfn.CONCAT(Constants!$N$2,TEXT($H268,"dd/mm/yyyy")),"Update Constants"))))))),"")</f>
        <v/>
      </c>
      <c r="BC268" s="147" t="str">
        <f>_xlfn.IFNA(VALUE(INDEX(Producer!$K:$K,MATCH($D268,Producer!$A:$A,0))),"")</f>
        <v/>
      </c>
      <c r="BD268" s="147" t="str">
        <f>_xlfn.IFNA(INDEX(Producer!$I:$I,MATCH($D268,Producer!$A:$A,0)),"")</f>
        <v/>
      </c>
      <c r="BE268" s="147" t="str">
        <f t="shared" si="120"/>
        <v/>
      </c>
      <c r="BF268" s="147"/>
      <c r="BG268" s="147"/>
      <c r="BH268" s="151" t="str">
        <f>_xlfn.IFNA(INDEX(Constants!$B:$B,MATCH(BC268,Constants!A:A,0)),"")</f>
        <v/>
      </c>
      <c r="BI268" s="147" t="str">
        <f>IF(LEFT(B268,15)="Limited Company",Constants!$D$16,IFERROR(_xlfn.IFNA(IF(C268="Residential",IF(BK268&lt;75,INDEX(Constants!$B:$B,MATCH(VALUE(60)/100,Constants!$A:$A,0)),INDEX(Constants!$B:$B,MATCH(VALUE(BK268)/100,Constants!$A:$A,0))),IF(BK268&lt;60,INDEX(Constants!$C:$C,MATCH(VALUE(60)/100,Constants!$A:$A,0)),INDEX(Constants!$C:$C,MATCH(VALUE(BK268)/100,Constants!$A:$A,0)))),""),""))</f>
        <v/>
      </c>
      <c r="BJ268" s="147" t="str">
        <f t="shared" si="121"/>
        <v/>
      </c>
      <c r="BK268" s="147" t="str">
        <f>_xlfn.IFNA(VALUE(INDEX(Producer!$E:$E,MATCH($D268,Producer!$A:$A,0)))*100,"")</f>
        <v/>
      </c>
      <c r="BL268" s="146" t="str">
        <f>_xlfn.IFNA(IF(IFERROR(FIND("Part &amp; Part",B268),-10)&gt;0,"PP",IF(OR(LEFT(B268,25)="Residential Interest Only",INDEX(Producer!$P:$P,MATCH($D268,Producer!$A:$A,0))="IO",INDEX(Producer!$P:$P,MATCH($D268,Producer!$A:$A,0))="Retirement Interest Only"),"IO",IF($C268="BuyToLet","CI, IO","CI"))),"")</f>
        <v/>
      </c>
      <c r="BM268" s="152" t="str">
        <f>_xlfn.IFNA(IF(BL268="IO",100%,IF(AND(INDEX(Producer!$P:$P,MATCH($D268,Producer!$A:$A,0))="Residential Interest Only Part &amp; Part",BK268=75),80%,IF(C268="BuyToLet",100%,IF(BL268="Interest Only",100%,IF(AND(INDEX(Producer!$P:$P,MATCH($D268,Producer!$A:$A,0))="Residential Interest Only Part &amp; Part",BK268=60),100%,""))))),"")</f>
        <v/>
      </c>
      <c r="BN268" s="218" t="str">
        <f>_xlfn.IFNA(IF(VALUE(INDEX(Producer!$H:$H,MATCH($D268,Producer!$A:$A,0)))=0,"",VALUE(INDEX(Producer!$H:$H,MATCH($D268,Producer!$A:$A,0)))),"")</f>
        <v/>
      </c>
      <c r="BO268" s="153"/>
      <c r="BP268" s="153"/>
      <c r="BQ268" s="219" t="str">
        <f t="shared" si="122"/>
        <v/>
      </c>
      <c r="BR268" s="146"/>
      <c r="BS268" s="146"/>
      <c r="BT268" s="146"/>
      <c r="BU268" s="146"/>
      <c r="BV268" s="219" t="str">
        <f t="shared" si="123"/>
        <v/>
      </c>
      <c r="BW268" s="146"/>
      <c r="BX268" s="146"/>
      <c r="BY268" s="146" t="str">
        <f t="shared" si="124"/>
        <v/>
      </c>
      <c r="BZ268" s="146" t="str">
        <f t="shared" si="125"/>
        <v/>
      </c>
      <c r="CA268" s="146" t="str">
        <f t="shared" si="126"/>
        <v/>
      </c>
      <c r="CB268" s="146" t="str">
        <f t="shared" si="127"/>
        <v/>
      </c>
      <c r="CC268" s="146" t="str">
        <f>_xlfn.IFNA(IF(INDEX(Producer!$P:$P,MATCH($D268,Producer!$A:$A,0))="Help to Buy","Only available","No"),"")</f>
        <v/>
      </c>
      <c r="CD268" s="146" t="str">
        <f>_xlfn.IFNA(IF(INDEX(Producer!$P:$P,MATCH($D268,Producer!$A:$A,0))="Shared Ownership","Only available","No"),"")</f>
        <v/>
      </c>
      <c r="CE268" s="146" t="str">
        <f>_xlfn.IFNA(IF(INDEX(Producer!$P:$P,MATCH($D268,Producer!$A:$A,0))="Right to Buy","Only available","No"),"")</f>
        <v/>
      </c>
      <c r="CF268" s="146" t="str">
        <f t="shared" si="128"/>
        <v/>
      </c>
      <c r="CG268" s="146" t="str">
        <f>_xlfn.IFNA(IF(INDEX(Producer!$P:$P,MATCH($D268,Producer!$A:$A,0))="Retirement Interest Only","Only available","No"),"")</f>
        <v/>
      </c>
      <c r="CH268" s="146" t="str">
        <f t="shared" si="129"/>
        <v/>
      </c>
      <c r="CI268" s="146" t="str">
        <f>_xlfn.IFNA(IF(INDEX(Producer!$P:$P,MATCH($D268,Producer!$A:$A,0))="Intermediary Holiday Let","Only available","No"),"")</f>
        <v/>
      </c>
      <c r="CJ268" s="146" t="str">
        <f t="shared" si="130"/>
        <v/>
      </c>
      <c r="CK268" s="146" t="str">
        <f>_xlfn.IFNA(IF(OR(INDEX(Producer!$P:$P,MATCH($D268,Producer!$A:$A,0))="Intermediary Small HMO",INDEX(Producer!$P:$P,MATCH($D268,Producer!$A:$A,0))="Intermediary Large HMO"),"Only available","No"),"")</f>
        <v/>
      </c>
      <c r="CL268" s="146" t="str">
        <f t="shared" si="131"/>
        <v/>
      </c>
      <c r="CM268" s="146" t="str">
        <f t="shared" si="132"/>
        <v/>
      </c>
      <c r="CN268" s="146" t="str">
        <f t="shared" si="133"/>
        <v/>
      </c>
      <c r="CO268" s="146" t="str">
        <f t="shared" si="134"/>
        <v/>
      </c>
      <c r="CP268" s="146" t="str">
        <f t="shared" si="135"/>
        <v/>
      </c>
      <c r="CQ268" s="146" t="str">
        <f t="shared" si="136"/>
        <v/>
      </c>
      <c r="CR268" s="146" t="str">
        <f t="shared" si="137"/>
        <v/>
      </c>
      <c r="CS268" s="146" t="str">
        <f t="shared" si="138"/>
        <v/>
      </c>
      <c r="CT268" s="146" t="str">
        <f t="shared" si="139"/>
        <v/>
      </c>
      <c r="CU268" s="146"/>
    </row>
    <row r="269" spans="1:99" ht="16.399999999999999" customHeight="1" x14ac:dyDescent="0.35">
      <c r="A269" s="145" t="str">
        <f t="shared" si="112"/>
        <v/>
      </c>
      <c r="B269" s="145" t="str">
        <f>_xlfn.IFNA(_xlfn.CONCAT(INDEX(Producer!$P:$P,MATCH($D269,Producer!$A:$A,0))," ",IF(INDEX(Producer!$N:$N,MATCH($D269,Producer!$A:$A,0))="Yes","Green ",""),IF(AND(INDEX(Producer!$L:$L,MATCH($D269,Producer!$A:$A,0))="No",INDEX(Producer!$C:$C,MATCH($D269,Producer!$A:$A,0))="Fixed"),"Flexit ",""),INDEX(Producer!$B:$B,MATCH($D269,Producer!$A:$A,0))," Year ",INDEX(Producer!$C:$C,MATCH($D269,Producer!$A:$A,0))," ",VALUE(INDEX(Producer!$E:$E,MATCH($D269,Producer!$A:$A,0)))*100,"% LTV",IF(INDEX(Producer!$N:$N,MATCH($D269,Producer!$A:$A,0))="Yes"," (EPC A-C)","")," - ",IF(INDEX(Producer!$D:$D,MATCH($D269,Producer!$A:$A,0))="DLY","Daily","Annual")),"")</f>
        <v/>
      </c>
      <c r="C269" s="146" t="str">
        <f>_xlfn.IFNA(INDEX(Producer!$Q:$Q,MATCH($D269,Producer!$A:$A,0)),"")</f>
        <v/>
      </c>
      <c r="D269" s="146" t="str">
        <f>IFERROR(VALUE(MID(Producer!$R$2,IF($D268="",1/0,FIND(_xlfn.CONCAT($D267,$D268),Producer!$R$2)+10),5)),"")</f>
        <v/>
      </c>
      <c r="E269" s="146" t="str">
        <f t="shared" si="113"/>
        <v/>
      </c>
      <c r="F269" s="146"/>
      <c r="G269" s="147" t="str">
        <f>_xlfn.IFNA(VALUE(INDEX(Producer!$F:$F,MATCH($D269,Producer!$A:$A,0)))*100,"")</f>
        <v/>
      </c>
      <c r="H269" s="216" t="str">
        <f>_xlfn.IFNA(IFERROR(DATEVALUE(INDEX(Producer!$M:$M,MATCH($D269,Producer!$A:$A,0))),(INDEX(Producer!$M:$M,MATCH($D269,Producer!$A:$A,0)))),"")</f>
        <v/>
      </c>
      <c r="I269" s="217" t="str">
        <f>_xlfn.IFNA(VALUE(INDEX(Producer!$B:$B,MATCH($D269,Producer!$A:$A,0)))*12,"")</f>
        <v/>
      </c>
      <c r="J269" s="146" t="str">
        <f>_xlfn.IFNA(IF(C269="Residential",IF(VALUE(INDEX(Producer!$B:$B,MATCH($D269,Producer!$A:$A,0)))&lt;5,Constants!$C$10,""),IF(VALUE(INDEX(Producer!$B:$B,MATCH($D269,Producer!$A:$A,0)))&lt;5,Constants!$C$11,"")),"")</f>
        <v/>
      </c>
      <c r="K269" s="216" t="str">
        <f>_xlfn.IFNA(IF(($I269)&lt;60,DATE(YEAR(H269)+(5-VALUE(INDEX(Producer!$B:$B,MATCH($D269,Producer!$A:$A,0)))),MONTH(H269),DAY(H269)),""),"")</f>
        <v/>
      </c>
      <c r="L269" s="153" t="str">
        <f t="shared" si="114"/>
        <v/>
      </c>
      <c r="M269" s="146"/>
      <c r="N269" s="148"/>
      <c r="O269" s="148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46"/>
      <c r="AF269" s="146"/>
      <c r="AG269" s="146"/>
      <c r="AH269" s="146"/>
      <c r="AI269" s="146"/>
      <c r="AJ269" s="146"/>
      <c r="AK269" s="146" t="str">
        <f>IF(D269="","",IF(C269="Residential",Constants!$B$10,Constants!$B$11))</f>
        <v/>
      </c>
      <c r="AL269" s="146" t="str">
        <f t="shared" si="115"/>
        <v/>
      </c>
      <c r="AM269" s="206" t="str">
        <f t="shared" si="116"/>
        <v/>
      </c>
      <c r="AN269" s="146" t="str">
        <f t="shared" si="117"/>
        <v/>
      </c>
      <c r="AO269" s="149" t="str">
        <f t="shared" si="118"/>
        <v/>
      </c>
      <c r="AP269" s="150" t="str">
        <f t="shared" si="119"/>
        <v/>
      </c>
      <c r="AQ269" s="146" t="str">
        <f>IFERROR(_xlfn.IFNA(IF($BA269="No",0,IF(INDEX(Constants!B:B,MATCH(($I269/12),Constants!$A:$A,0))=0,0,INDEX(Constants!B:B,MATCH(($I269/12),Constants!$A:$A,0)))),0),"")</f>
        <v/>
      </c>
      <c r="AR269" s="146" t="str">
        <f>IFERROR(_xlfn.IFNA(IF($BA269="No",0,IF(INDEX(Constants!C:C,MATCH(($I269/12),Constants!$A:$A,0))=0,0,INDEX(Constants!C:C,MATCH(($I269/12),Constants!$A:$A,0)))),0),"")</f>
        <v/>
      </c>
      <c r="AS269" s="146" t="str">
        <f>IFERROR(_xlfn.IFNA(IF($BA269="No",0,IF(INDEX(Constants!D:D,MATCH(($I269/12),Constants!$A:$A,0))=0,0,INDEX(Constants!D:D,MATCH(($I269/12),Constants!$A:$A,0)))),0),"")</f>
        <v/>
      </c>
      <c r="AT269" s="146" t="str">
        <f>IFERROR(_xlfn.IFNA(IF($BA269="No",0,IF(INDEX(Constants!E:E,MATCH(($I269/12),Constants!$A:$A,0))=0,0,INDEX(Constants!E:E,MATCH(($I269/12),Constants!$A:$A,0)))),0),"")</f>
        <v/>
      </c>
      <c r="AU269" s="146" t="str">
        <f>IFERROR(_xlfn.IFNA(IF($BA269="No",0,IF(INDEX(Constants!F:F,MATCH(($I269/12),Constants!$A:$A,0))=0,0,INDEX(Constants!F:F,MATCH(($I269/12),Constants!$A:$A,0)))),0),"")</f>
        <v/>
      </c>
      <c r="AV269" s="146" t="str">
        <f>IFERROR(_xlfn.IFNA(IF($BA269="No",0,IF(INDEX(Constants!G:G,MATCH(($I269/12),Constants!$A:$A,0))=0,0,INDEX(Constants!G:G,MATCH(($I269/12),Constants!$A:$A,0)))),0),"")</f>
        <v/>
      </c>
      <c r="AW269" s="146" t="str">
        <f>IFERROR(_xlfn.IFNA(IF($BA269="No",0,IF(INDEX(Constants!H:H,MATCH(($I269/12),Constants!$A:$A,0))=0,0,INDEX(Constants!H:H,MATCH(($I269/12),Constants!$A:$A,0)))),0),"")</f>
        <v/>
      </c>
      <c r="AX269" s="146" t="str">
        <f>IFERROR(_xlfn.IFNA(IF($BA269="No",0,IF(INDEX(Constants!I:I,MATCH(($I269/12),Constants!$A:$A,0))=0,0,INDEX(Constants!I:I,MATCH(($I269/12),Constants!$A:$A,0)))),0),"")</f>
        <v/>
      </c>
      <c r="AY269" s="146" t="str">
        <f>IFERROR(_xlfn.IFNA(IF($BA269="No",0,IF(INDEX(Constants!J:J,MATCH(($I269/12),Constants!$A:$A,0))=0,0,INDEX(Constants!J:J,MATCH(($I269/12),Constants!$A:$A,0)))),0),"")</f>
        <v/>
      </c>
      <c r="AZ269" s="146" t="str">
        <f>IFERROR(_xlfn.IFNA(IF($BA269="No",0,IF(INDEX(Constants!K:K,MATCH(($I269/12),Constants!$A:$A,0))=0,0,INDEX(Constants!K:K,MATCH(($I269/12),Constants!$A:$A,0)))),0),"")</f>
        <v/>
      </c>
      <c r="BA269" s="147" t="str">
        <f>_xlfn.IFNA(INDEX(Producer!$L:$L,MATCH($D269,Producer!$A:$A,0)),"")</f>
        <v/>
      </c>
      <c r="BB269" s="146" t="str">
        <f>IFERROR(IF(AQ269=0,"",IF(($I269/12)=15,_xlfn.CONCAT(Constants!$N$7,TEXT(DATE(YEAR(H269)-(($I269/12)-3),MONTH(H269),DAY(H269)),"dd/mm/yyyy"),", ",Constants!$P$7,TEXT(DATE(YEAR(H269)-(($I269/12)-8),MONTH(H269),DAY(H269)),"dd/mm/yyyy"),", ",Constants!$T$7,TEXT(DATE(YEAR(H269)-(($I269/12)-11),MONTH(H269),DAY(H269)),"dd/mm/yyyy"),", ",Constants!$V$7,TEXT(DATE(YEAR(H269)-(($I269/12)-13),MONTH(H269),DAY(H269)),"dd/mm/yyyy"),", ",Constants!$W$7,TEXT($H269,"dd/mm/yyyy")),IF(($I269/12)=10,_xlfn.CONCAT(Constants!$N$6,TEXT(DATE(YEAR(H269)-(($I269/12)-2),MONTH(H269),DAY(H269)),"dd/mm/yyyy"),", ",Constants!$P$6,TEXT(DATE(YEAR(H269)-(($I269/12)-6),MONTH(H269),DAY(H269)),"dd/mm/yyyy"),", ",Constants!$T$6,TEXT(DATE(YEAR(H269)-(($I269/12)-8),MONTH(H269),DAY(H269)),"dd/mm/yyyy"),", ",Constants!$V$6,TEXT(DATE(YEAR(H269)-(($I269/12)-9),MONTH(H269),DAY(H269)),"dd/mm/yyyy"),", ",Constants!$W$6,TEXT($H269,"dd/mm/yyyy")),IF(($I269/12)=5,_xlfn.CONCAT(Constants!$N$5,TEXT(DATE(YEAR(H269)-(($I269/12)-1),MONTH(H269),DAY(H269)),"dd/mm/yyyy"),", ",Constants!$O$5,TEXT(DATE(YEAR(H269)-(($I269/12)-2),MONTH(H269),DAY(H269)),"dd/mm/yyyy"),", ",Constants!$P$5,TEXT(DATE(YEAR(H269)-(($I269/12)-3),MONTH(H269),DAY(H269)),"dd/mm/yyyy"),", ",Constants!$Q$5,TEXT(DATE(YEAR(H269)-(($I269/12)-4),MONTH(H269),DAY(H269)),"dd/mm/yyyy"),", ",Constants!$R$5,TEXT($H269,"dd/mm/yyyy")),IF(($I269/12)=3,_xlfn.CONCAT(Constants!$N$4,TEXT(DATE(YEAR(H269)-(($I269/12)-1),MONTH(H269),DAY(H269)),"dd/mm/yyyy"),", ",Constants!$O$4,TEXT(DATE(YEAR(H269)-(($I269/12)-2),MONTH(H269),DAY(H269)),"dd/mm/yyyy"),", ",Constants!$P$4,TEXT($H269,"dd/mm/yyyy")),IF(($I269/12)=2,_xlfn.CONCAT(Constants!$N$3,TEXT(DATE(YEAR(H269)-(($I269/12)-1),MONTH(H269),DAY(H269)),"dd/mm/yyyy"),", ",Constants!$O$3,TEXT($H269,"dd/mm/yyyy")),IF(($I269/12)=1,_xlfn.CONCAT(Constants!$N$2,TEXT($H269,"dd/mm/yyyy")),"Update Constants"))))))),"")</f>
        <v/>
      </c>
      <c r="BC269" s="147" t="str">
        <f>_xlfn.IFNA(VALUE(INDEX(Producer!$K:$K,MATCH($D269,Producer!$A:$A,0))),"")</f>
        <v/>
      </c>
      <c r="BD269" s="147" t="str">
        <f>_xlfn.IFNA(INDEX(Producer!$I:$I,MATCH($D269,Producer!$A:$A,0)),"")</f>
        <v/>
      </c>
      <c r="BE269" s="147" t="str">
        <f t="shared" si="120"/>
        <v/>
      </c>
      <c r="BF269" s="147"/>
      <c r="BG269" s="147"/>
      <c r="BH269" s="151" t="str">
        <f>_xlfn.IFNA(INDEX(Constants!$B:$B,MATCH(BC269,Constants!A:A,0)),"")</f>
        <v/>
      </c>
      <c r="BI269" s="147" t="str">
        <f>IF(LEFT(B269,15)="Limited Company",Constants!$D$16,IFERROR(_xlfn.IFNA(IF(C269="Residential",IF(BK269&lt;75,INDEX(Constants!$B:$B,MATCH(VALUE(60)/100,Constants!$A:$A,0)),INDEX(Constants!$B:$B,MATCH(VALUE(BK269)/100,Constants!$A:$A,0))),IF(BK269&lt;60,INDEX(Constants!$C:$C,MATCH(VALUE(60)/100,Constants!$A:$A,0)),INDEX(Constants!$C:$C,MATCH(VALUE(BK269)/100,Constants!$A:$A,0)))),""),""))</f>
        <v/>
      </c>
      <c r="BJ269" s="147" t="str">
        <f t="shared" si="121"/>
        <v/>
      </c>
      <c r="BK269" s="147" t="str">
        <f>_xlfn.IFNA(VALUE(INDEX(Producer!$E:$E,MATCH($D269,Producer!$A:$A,0)))*100,"")</f>
        <v/>
      </c>
      <c r="BL269" s="146" t="str">
        <f>_xlfn.IFNA(IF(IFERROR(FIND("Part &amp; Part",B269),-10)&gt;0,"PP",IF(OR(LEFT(B269,25)="Residential Interest Only",INDEX(Producer!$P:$P,MATCH($D269,Producer!$A:$A,0))="IO",INDEX(Producer!$P:$P,MATCH($D269,Producer!$A:$A,0))="Retirement Interest Only"),"IO",IF($C269="BuyToLet","CI, IO","CI"))),"")</f>
        <v/>
      </c>
      <c r="BM269" s="152" t="str">
        <f>_xlfn.IFNA(IF(BL269="IO",100%,IF(AND(INDEX(Producer!$P:$P,MATCH($D269,Producer!$A:$A,0))="Residential Interest Only Part &amp; Part",BK269=75),80%,IF(C269="BuyToLet",100%,IF(BL269="Interest Only",100%,IF(AND(INDEX(Producer!$P:$P,MATCH($D269,Producer!$A:$A,0))="Residential Interest Only Part &amp; Part",BK269=60),100%,""))))),"")</f>
        <v/>
      </c>
      <c r="BN269" s="218" t="str">
        <f>_xlfn.IFNA(IF(VALUE(INDEX(Producer!$H:$H,MATCH($D269,Producer!$A:$A,0)))=0,"",VALUE(INDEX(Producer!$H:$H,MATCH($D269,Producer!$A:$A,0)))),"")</f>
        <v/>
      </c>
      <c r="BO269" s="153"/>
      <c r="BP269" s="153"/>
      <c r="BQ269" s="219" t="str">
        <f t="shared" si="122"/>
        <v/>
      </c>
      <c r="BR269" s="146"/>
      <c r="BS269" s="146"/>
      <c r="BT269" s="146"/>
      <c r="BU269" s="146"/>
      <c r="BV269" s="219" t="str">
        <f t="shared" si="123"/>
        <v/>
      </c>
      <c r="BW269" s="146"/>
      <c r="BX269" s="146"/>
      <c r="BY269" s="146" t="str">
        <f t="shared" si="124"/>
        <v/>
      </c>
      <c r="BZ269" s="146" t="str">
        <f t="shared" si="125"/>
        <v/>
      </c>
      <c r="CA269" s="146" t="str">
        <f t="shared" si="126"/>
        <v/>
      </c>
      <c r="CB269" s="146" t="str">
        <f t="shared" si="127"/>
        <v/>
      </c>
      <c r="CC269" s="146" t="str">
        <f>_xlfn.IFNA(IF(INDEX(Producer!$P:$P,MATCH($D269,Producer!$A:$A,0))="Help to Buy","Only available","No"),"")</f>
        <v/>
      </c>
      <c r="CD269" s="146" t="str">
        <f>_xlfn.IFNA(IF(INDEX(Producer!$P:$P,MATCH($D269,Producer!$A:$A,0))="Shared Ownership","Only available","No"),"")</f>
        <v/>
      </c>
      <c r="CE269" s="146" t="str">
        <f>_xlfn.IFNA(IF(INDEX(Producer!$P:$P,MATCH($D269,Producer!$A:$A,0))="Right to Buy","Only available","No"),"")</f>
        <v/>
      </c>
      <c r="CF269" s="146" t="str">
        <f t="shared" si="128"/>
        <v/>
      </c>
      <c r="CG269" s="146" t="str">
        <f>_xlfn.IFNA(IF(INDEX(Producer!$P:$P,MATCH($D269,Producer!$A:$A,0))="Retirement Interest Only","Only available","No"),"")</f>
        <v/>
      </c>
      <c r="CH269" s="146" t="str">
        <f t="shared" si="129"/>
        <v/>
      </c>
      <c r="CI269" s="146" t="str">
        <f>_xlfn.IFNA(IF(INDEX(Producer!$P:$P,MATCH($D269,Producer!$A:$A,0))="Intermediary Holiday Let","Only available","No"),"")</f>
        <v/>
      </c>
      <c r="CJ269" s="146" t="str">
        <f t="shared" si="130"/>
        <v/>
      </c>
      <c r="CK269" s="146" t="str">
        <f>_xlfn.IFNA(IF(OR(INDEX(Producer!$P:$P,MATCH($D269,Producer!$A:$A,0))="Intermediary Small HMO",INDEX(Producer!$P:$P,MATCH($D269,Producer!$A:$A,0))="Intermediary Large HMO"),"Only available","No"),"")</f>
        <v/>
      </c>
      <c r="CL269" s="146" t="str">
        <f t="shared" si="131"/>
        <v/>
      </c>
      <c r="CM269" s="146" t="str">
        <f t="shared" si="132"/>
        <v/>
      </c>
      <c r="CN269" s="146" t="str">
        <f t="shared" si="133"/>
        <v/>
      </c>
      <c r="CO269" s="146" t="str">
        <f t="shared" si="134"/>
        <v/>
      </c>
      <c r="CP269" s="146" t="str">
        <f t="shared" si="135"/>
        <v/>
      </c>
      <c r="CQ269" s="146" t="str">
        <f t="shared" si="136"/>
        <v/>
      </c>
      <c r="CR269" s="146" t="str">
        <f t="shared" si="137"/>
        <v/>
      </c>
      <c r="CS269" s="146" t="str">
        <f t="shared" si="138"/>
        <v/>
      </c>
      <c r="CT269" s="146" t="str">
        <f t="shared" si="139"/>
        <v/>
      </c>
      <c r="CU269" s="146"/>
    </row>
    <row r="270" spans="1:99" ht="16.399999999999999" customHeight="1" x14ac:dyDescent="0.35">
      <c r="A270" s="145" t="str">
        <f t="shared" si="112"/>
        <v/>
      </c>
      <c r="B270" s="145" t="str">
        <f>_xlfn.IFNA(_xlfn.CONCAT(INDEX(Producer!$P:$P,MATCH($D270,Producer!$A:$A,0))," ",IF(INDEX(Producer!$N:$N,MATCH($D270,Producer!$A:$A,0))="Yes","Green ",""),IF(AND(INDEX(Producer!$L:$L,MATCH($D270,Producer!$A:$A,0))="No",INDEX(Producer!$C:$C,MATCH($D270,Producer!$A:$A,0))="Fixed"),"Flexit ",""),INDEX(Producer!$B:$B,MATCH($D270,Producer!$A:$A,0))," Year ",INDEX(Producer!$C:$C,MATCH($D270,Producer!$A:$A,0))," ",VALUE(INDEX(Producer!$E:$E,MATCH($D270,Producer!$A:$A,0)))*100,"% LTV",IF(INDEX(Producer!$N:$N,MATCH($D270,Producer!$A:$A,0))="Yes"," (EPC A-C)","")," - ",IF(INDEX(Producer!$D:$D,MATCH($D270,Producer!$A:$A,0))="DLY","Daily","Annual")),"")</f>
        <v/>
      </c>
      <c r="C270" s="146" t="str">
        <f>_xlfn.IFNA(INDEX(Producer!$Q:$Q,MATCH($D270,Producer!$A:$A,0)),"")</f>
        <v/>
      </c>
      <c r="D270" s="146" t="str">
        <f>IFERROR(VALUE(MID(Producer!$R$2,IF($D269="",1/0,FIND(_xlfn.CONCAT($D268,$D269),Producer!$R$2)+10),5)),"")</f>
        <v/>
      </c>
      <c r="E270" s="146" t="str">
        <f t="shared" si="113"/>
        <v/>
      </c>
      <c r="F270" s="146"/>
      <c r="G270" s="147" t="str">
        <f>_xlfn.IFNA(VALUE(INDEX(Producer!$F:$F,MATCH($D270,Producer!$A:$A,0)))*100,"")</f>
        <v/>
      </c>
      <c r="H270" s="216" t="str">
        <f>_xlfn.IFNA(IFERROR(DATEVALUE(INDEX(Producer!$M:$M,MATCH($D270,Producer!$A:$A,0))),(INDEX(Producer!$M:$M,MATCH($D270,Producer!$A:$A,0)))),"")</f>
        <v/>
      </c>
      <c r="I270" s="217" t="str">
        <f>_xlfn.IFNA(VALUE(INDEX(Producer!$B:$B,MATCH($D270,Producer!$A:$A,0)))*12,"")</f>
        <v/>
      </c>
      <c r="J270" s="146" t="str">
        <f>_xlfn.IFNA(IF(C270="Residential",IF(VALUE(INDEX(Producer!$B:$B,MATCH($D270,Producer!$A:$A,0)))&lt;5,Constants!$C$10,""),IF(VALUE(INDEX(Producer!$B:$B,MATCH($D270,Producer!$A:$A,0)))&lt;5,Constants!$C$11,"")),"")</f>
        <v/>
      </c>
      <c r="K270" s="216" t="str">
        <f>_xlfn.IFNA(IF(($I270)&lt;60,DATE(YEAR(H270)+(5-VALUE(INDEX(Producer!$B:$B,MATCH($D270,Producer!$A:$A,0)))),MONTH(H270),DAY(H270)),""),"")</f>
        <v/>
      </c>
      <c r="L270" s="153" t="str">
        <f t="shared" si="114"/>
        <v/>
      </c>
      <c r="M270" s="146"/>
      <c r="N270" s="148"/>
      <c r="O270" s="148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  <c r="AA270" s="146"/>
      <c r="AB270" s="146"/>
      <c r="AC270" s="146"/>
      <c r="AD270" s="146"/>
      <c r="AE270" s="146"/>
      <c r="AF270" s="146"/>
      <c r="AG270" s="146"/>
      <c r="AH270" s="146"/>
      <c r="AI270" s="146"/>
      <c r="AJ270" s="146"/>
      <c r="AK270" s="146" t="str">
        <f>IF(D270="","",IF(C270="Residential",Constants!$B$10,Constants!$B$11))</f>
        <v/>
      </c>
      <c r="AL270" s="146" t="str">
        <f t="shared" si="115"/>
        <v/>
      </c>
      <c r="AM270" s="206" t="str">
        <f t="shared" si="116"/>
        <v/>
      </c>
      <c r="AN270" s="146" t="str">
        <f t="shared" si="117"/>
        <v/>
      </c>
      <c r="AO270" s="149" t="str">
        <f t="shared" si="118"/>
        <v/>
      </c>
      <c r="AP270" s="150" t="str">
        <f t="shared" si="119"/>
        <v/>
      </c>
      <c r="AQ270" s="146" t="str">
        <f>IFERROR(_xlfn.IFNA(IF($BA270="No",0,IF(INDEX(Constants!B:B,MATCH(($I270/12),Constants!$A:$A,0))=0,0,INDEX(Constants!B:B,MATCH(($I270/12),Constants!$A:$A,0)))),0),"")</f>
        <v/>
      </c>
      <c r="AR270" s="146" t="str">
        <f>IFERROR(_xlfn.IFNA(IF($BA270="No",0,IF(INDEX(Constants!C:C,MATCH(($I270/12),Constants!$A:$A,0))=0,0,INDEX(Constants!C:C,MATCH(($I270/12),Constants!$A:$A,0)))),0),"")</f>
        <v/>
      </c>
      <c r="AS270" s="146" t="str">
        <f>IFERROR(_xlfn.IFNA(IF($BA270="No",0,IF(INDEX(Constants!D:D,MATCH(($I270/12),Constants!$A:$A,0))=0,0,INDEX(Constants!D:D,MATCH(($I270/12),Constants!$A:$A,0)))),0),"")</f>
        <v/>
      </c>
      <c r="AT270" s="146" t="str">
        <f>IFERROR(_xlfn.IFNA(IF($BA270="No",0,IF(INDEX(Constants!E:E,MATCH(($I270/12),Constants!$A:$A,0))=0,0,INDEX(Constants!E:E,MATCH(($I270/12),Constants!$A:$A,0)))),0),"")</f>
        <v/>
      </c>
      <c r="AU270" s="146" t="str">
        <f>IFERROR(_xlfn.IFNA(IF($BA270="No",0,IF(INDEX(Constants!F:F,MATCH(($I270/12),Constants!$A:$A,0))=0,0,INDEX(Constants!F:F,MATCH(($I270/12),Constants!$A:$A,0)))),0),"")</f>
        <v/>
      </c>
      <c r="AV270" s="146" t="str">
        <f>IFERROR(_xlfn.IFNA(IF($BA270="No",0,IF(INDEX(Constants!G:G,MATCH(($I270/12),Constants!$A:$A,0))=0,0,INDEX(Constants!G:G,MATCH(($I270/12),Constants!$A:$A,0)))),0),"")</f>
        <v/>
      </c>
      <c r="AW270" s="146" t="str">
        <f>IFERROR(_xlfn.IFNA(IF($BA270="No",0,IF(INDEX(Constants!H:H,MATCH(($I270/12),Constants!$A:$A,0))=0,0,INDEX(Constants!H:H,MATCH(($I270/12),Constants!$A:$A,0)))),0),"")</f>
        <v/>
      </c>
      <c r="AX270" s="146" t="str">
        <f>IFERROR(_xlfn.IFNA(IF($BA270="No",0,IF(INDEX(Constants!I:I,MATCH(($I270/12),Constants!$A:$A,0))=0,0,INDEX(Constants!I:I,MATCH(($I270/12),Constants!$A:$A,0)))),0),"")</f>
        <v/>
      </c>
      <c r="AY270" s="146" t="str">
        <f>IFERROR(_xlfn.IFNA(IF($BA270="No",0,IF(INDEX(Constants!J:J,MATCH(($I270/12),Constants!$A:$A,0))=0,0,INDEX(Constants!J:J,MATCH(($I270/12),Constants!$A:$A,0)))),0),"")</f>
        <v/>
      </c>
      <c r="AZ270" s="146" t="str">
        <f>IFERROR(_xlfn.IFNA(IF($BA270="No",0,IF(INDEX(Constants!K:K,MATCH(($I270/12),Constants!$A:$A,0))=0,0,INDEX(Constants!K:K,MATCH(($I270/12),Constants!$A:$A,0)))),0),"")</f>
        <v/>
      </c>
      <c r="BA270" s="147" t="str">
        <f>_xlfn.IFNA(INDEX(Producer!$L:$L,MATCH($D270,Producer!$A:$A,0)),"")</f>
        <v/>
      </c>
      <c r="BB270" s="146" t="str">
        <f>IFERROR(IF(AQ270=0,"",IF(($I270/12)=15,_xlfn.CONCAT(Constants!$N$7,TEXT(DATE(YEAR(H270)-(($I270/12)-3),MONTH(H270),DAY(H270)),"dd/mm/yyyy"),", ",Constants!$P$7,TEXT(DATE(YEAR(H270)-(($I270/12)-8),MONTH(H270),DAY(H270)),"dd/mm/yyyy"),", ",Constants!$T$7,TEXT(DATE(YEAR(H270)-(($I270/12)-11),MONTH(H270),DAY(H270)),"dd/mm/yyyy"),", ",Constants!$V$7,TEXT(DATE(YEAR(H270)-(($I270/12)-13),MONTH(H270),DAY(H270)),"dd/mm/yyyy"),", ",Constants!$W$7,TEXT($H270,"dd/mm/yyyy")),IF(($I270/12)=10,_xlfn.CONCAT(Constants!$N$6,TEXT(DATE(YEAR(H270)-(($I270/12)-2),MONTH(H270),DAY(H270)),"dd/mm/yyyy"),", ",Constants!$P$6,TEXT(DATE(YEAR(H270)-(($I270/12)-6),MONTH(H270),DAY(H270)),"dd/mm/yyyy"),", ",Constants!$T$6,TEXT(DATE(YEAR(H270)-(($I270/12)-8),MONTH(H270),DAY(H270)),"dd/mm/yyyy"),", ",Constants!$V$6,TEXT(DATE(YEAR(H270)-(($I270/12)-9),MONTH(H270),DAY(H270)),"dd/mm/yyyy"),", ",Constants!$W$6,TEXT($H270,"dd/mm/yyyy")),IF(($I270/12)=5,_xlfn.CONCAT(Constants!$N$5,TEXT(DATE(YEAR(H270)-(($I270/12)-1),MONTH(H270),DAY(H270)),"dd/mm/yyyy"),", ",Constants!$O$5,TEXT(DATE(YEAR(H270)-(($I270/12)-2),MONTH(H270),DAY(H270)),"dd/mm/yyyy"),", ",Constants!$P$5,TEXT(DATE(YEAR(H270)-(($I270/12)-3),MONTH(H270),DAY(H270)),"dd/mm/yyyy"),", ",Constants!$Q$5,TEXT(DATE(YEAR(H270)-(($I270/12)-4),MONTH(H270),DAY(H270)),"dd/mm/yyyy"),", ",Constants!$R$5,TEXT($H270,"dd/mm/yyyy")),IF(($I270/12)=3,_xlfn.CONCAT(Constants!$N$4,TEXT(DATE(YEAR(H270)-(($I270/12)-1),MONTH(H270),DAY(H270)),"dd/mm/yyyy"),", ",Constants!$O$4,TEXT(DATE(YEAR(H270)-(($I270/12)-2),MONTH(H270),DAY(H270)),"dd/mm/yyyy"),", ",Constants!$P$4,TEXT($H270,"dd/mm/yyyy")),IF(($I270/12)=2,_xlfn.CONCAT(Constants!$N$3,TEXT(DATE(YEAR(H270)-(($I270/12)-1),MONTH(H270),DAY(H270)),"dd/mm/yyyy"),", ",Constants!$O$3,TEXT($H270,"dd/mm/yyyy")),IF(($I270/12)=1,_xlfn.CONCAT(Constants!$N$2,TEXT($H270,"dd/mm/yyyy")),"Update Constants"))))))),"")</f>
        <v/>
      </c>
      <c r="BC270" s="147" t="str">
        <f>_xlfn.IFNA(VALUE(INDEX(Producer!$K:$K,MATCH($D270,Producer!$A:$A,0))),"")</f>
        <v/>
      </c>
      <c r="BD270" s="147" t="str">
        <f>_xlfn.IFNA(INDEX(Producer!$I:$I,MATCH($D270,Producer!$A:$A,0)),"")</f>
        <v/>
      </c>
      <c r="BE270" s="147" t="str">
        <f t="shared" si="120"/>
        <v/>
      </c>
      <c r="BF270" s="147"/>
      <c r="BG270" s="147"/>
      <c r="BH270" s="151" t="str">
        <f>_xlfn.IFNA(INDEX(Constants!$B:$B,MATCH(BC270,Constants!A:A,0)),"")</f>
        <v/>
      </c>
      <c r="BI270" s="147" t="str">
        <f>IF(LEFT(B270,15)="Limited Company",Constants!$D$16,IFERROR(_xlfn.IFNA(IF(C270="Residential",IF(BK270&lt;75,INDEX(Constants!$B:$B,MATCH(VALUE(60)/100,Constants!$A:$A,0)),INDEX(Constants!$B:$B,MATCH(VALUE(BK270)/100,Constants!$A:$A,0))),IF(BK270&lt;60,INDEX(Constants!$C:$C,MATCH(VALUE(60)/100,Constants!$A:$A,0)),INDEX(Constants!$C:$C,MATCH(VALUE(BK270)/100,Constants!$A:$A,0)))),""),""))</f>
        <v/>
      </c>
      <c r="BJ270" s="147" t="str">
        <f t="shared" si="121"/>
        <v/>
      </c>
      <c r="BK270" s="147" t="str">
        <f>_xlfn.IFNA(VALUE(INDEX(Producer!$E:$E,MATCH($D270,Producer!$A:$A,0)))*100,"")</f>
        <v/>
      </c>
      <c r="BL270" s="146" t="str">
        <f>_xlfn.IFNA(IF(IFERROR(FIND("Part &amp; Part",B270),-10)&gt;0,"PP",IF(OR(LEFT(B270,25)="Residential Interest Only",INDEX(Producer!$P:$P,MATCH($D270,Producer!$A:$A,0))="IO",INDEX(Producer!$P:$P,MATCH($D270,Producer!$A:$A,0))="Retirement Interest Only"),"IO",IF($C270="BuyToLet","CI, IO","CI"))),"")</f>
        <v/>
      </c>
      <c r="BM270" s="152" t="str">
        <f>_xlfn.IFNA(IF(BL270="IO",100%,IF(AND(INDEX(Producer!$P:$P,MATCH($D270,Producer!$A:$A,0))="Residential Interest Only Part &amp; Part",BK270=75),80%,IF(C270="BuyToLet",100%,IF(BL270="Interest Only",100%,IF(AND(INDEX(Producer!$P:$P,MATCH($D270,Producer!$A:$A,0))="Residential Interest Only Part &amp; Part",BK270=60),100%,""))))),"")</f>
        <v/>
      </c>
      <c r="BN270" s="218" t="str">
        <f>_xlfn.IFNA(IF(VALUE(INDEX(Producer!$H:$H,MATCH($D270,Producer!$A:$A,0)))=0,"",VALUE(INDEX(Producer!$H:$H,MATCH($D270,Producer!$A:$A,0)))),"")</f>
        <v/>
      </c>
      <c r="BO270" s="153"/>
      <c r="BP270" s="153"/>
      <c r="BQ270" s="219" t="str">
        <f t="shared" si="122"/>
        <v/>
      </c>
      <c r="BR270" s="146"/>
      <c r="BS270" s="146"/>
      <c r="BT270" s="146"/>
      <c r="BU270" s="146"/>
      <c r="BV270" s="219" t="str">
        <f t="shared" si="123"/>
        <v/>
      </c>
      <c r="BW270" s="146"/>
      <c r="BX270" s="146"/>
      <c r="BY270" s="146" t="str">
        <f t="shared" si="124"/>
        <v/>
      </c>
      <c r="BZ270" s="146" t="str">
        <f t="shared" si="125"/>
        <v/>
      </c>
      <c r="CA270" s="146" t="str">
        <f t="shared" si="126"/>
        <v/>
      </c>
      <c r="CB270" s="146" t="str">
        <f t="shared" si="127"/>
        <v/>
      </c>
      <c r="CC270" s="146" t="str">
        <f>_xlfn.IFNA(IF(INDEX(Producer!$P:$P,MATCH($D270,Producer!$A:$A,0))="Help to Buy","Only available","No"),"")</f>
        <v/>
      </c>
      <c r="CD270" s="146" t="str">
        <f>_xlfn.IFNA(IF(INDEX(Producer!$P:$P,MATCH($D270,Producer!$A:$A,0))="Shared Ownership","Only available","No"),"")</f>
        <v/>
      </c>
      <c r="CE270" s="146" t="str">
        <f>_xlfn.IFNA(IF(INDEX(Producer!$P:$P,MATCH($D270,Producer!$A:$A,0))="Right to Buy","Only available","No"),"")</f>
        <v/>
      </c>
      <c r="CF270" s="146" t="str">
        <f t="shared" si="128"/>
        <v/>
      </c>
      <c r="CG270" s="146" t="str">
        <f>_xlfn.IFNA(IF(INDEX(Producer!$P:$P,MATCH($D270,Producer!$A:$A,0))="Retirement Interest Only","Only available","No"),"")</f>
        <v/>
      </c>
      <c r="CH270" s="146" t="str">
        <f t="shared" si="129"/>
        <v/>
      </c>
      <c r="CI270" s="146" t="str">
        <f>_xlfn.IFNA(IF(INDEX(Producer!$P:$P,MATCH($D270,Producer!$A:$A,0))="Intermediary Holiday Let","Only available","No"),"")</f>
        <v/>
      </c>
      <c r="CJ270" s="146" t="str">
        <f t="shared" si="130"/>
        <v/>
      </c>
      <c r="CK270" s="146" t="str">
        <f>_xlfn.IFNA(IF(OR(INDEX(Producer!$P:$P,MATCH($D270,Producer!$A:$A,0))="Intermediary Small HMO",INDEX(Producer!$P:$P,MATCH($D270,Producer!$A:$A,0))="Intermediary Large HMO"),"Only available","No"),"")</f>
        <v/>
      </c>
      <c r="CL270" s="146" t="str">
        <f t="shared" si="131"/>
        <v/>
      </c>
      <c r="CM270" s="146" t="str">
        <f t="shared" si="132"/>
        <v/>
      </c>
      <c r="CN270" s="146" t="str">
        <f t="shared" si="133"/>
        <v/>
      </c>
      <c r="CO270" s="146" t="str">
        <f t="shared" si="134"/>
        <v/>
      </c>
      <c r="CP270" s="146" t="str">
        <f t="shared" si="135"/>
        <v/>
      </c>
      <c r="CQ270" s="146" t="str">
        <f t="shared" si="136"/>
        <v/>
      </c>
      <c r="CR270" s="146" t="str">
        <f t="shared" si="137"/>
        <v/>
      </c>
      <c r="CS270" s="146" t="str">
        <f t="shared" si="138"/>
        <v/>
      </c>
      <c r="CT270" s="146" t="str">
        <f t="shared" si="139"/>
        <v/>
      </c>
      <c r="CU270" s="146"/>
    </row>
    <row r="271" spans="1:99" ht="16.399999999999999" customHeight="1" x14ac:dyDescent="0.35">
      <c r="A271" s="145" t="str">
        <f t="shared" si="112"/>
        <v/>
      </c>
      <c r="B271" s="145" t="str">
        <f>_xlfn.IFNA(_xlfn.CONCAT(INDEX(Producer!$P:$P,MATCH($D271,Producer!$A:$A,0))," ",IF(INDEX(Producer!$N:$N,MATCH($D271,Producer!$A:$A,0))="Yes","Green ",""),IF(AND(INDEX(Producer!$L:$L,MATCH($D271,Producer!$A:$A,0))="No",INDEX(Producer!$C:$C,MATCH($D271,Producer!$A:$A,0))="Fixed"),"Flexit ",""),INDEX(Producer!$B:$B,MATCH($D271,Producer!$A:$A,0))," Year ",INDEX(Producer!$C:$C,MATCH($D271,Producer!$A:$A,0))," ",VALUE(INDEX(Producer!$E:$E,MATCH($D271,Producer!$A:$A,0)))*100,"% LTV",IF(INDEX(Producer!$N:$N,MATCH($D271,Producer!$A:$A,0))="Yes"," (EPC A-C)","")," - ",IF(INDEX(Producer!$D:$D,MATCH($D271,Producer!$A:$A,0))="DLY","Daily","Annual")),"")</f>
        <v/>
      </c>
      <c r="C271" s="146" t="str">
        <f>_xlfn.IFNA(INDEX(Producer!$Q:$Q,MATCH($D271,Producer!$A:$A,0)),"")</f>
        <v/>
      </c>
      <c r="D271" s="146" t="str">
        <f>IFERROR(VALUE(MID(Producer!$R$2,IF($D270="",1/0,FIND(_xlfn.CONCAT($D269,$D270),Producer!$R$2)+10),5)),"")</f>
        <v/>
      </c>
      <c r="E271" s="146" t="str">
        <f t="shared" si="113"/>
        <v/>
      </c>
      <c r="F271" s="146"/>
      <c r="G271" s="147" t="str">
        <f>_xlfn.IFNA(VALUE(INDEX(Producer!$F:$F,MATCH($D271,Producer!$A:$A,0)))*100,"")</f>
        <v/>
      </c>
      <c r="H271" s="216" t="str">
        <f>_xlfn.IFNA(IFERROR(DATEVALUE(INDEX(Producer!$M:$M,MATCH($D271,Producer!$A:$A,0))),(INDEX(Producer!$M:$M,MATCH($D271,Producer!$A:$A,0)))),"")</f>
        <v/>
      </c>
      <c r="I271" s="217" t="str">
        <f>_xlfn.IFNA(VALUE(INDEX(Producer!$B:$B,MATCH($D271,Producer!$A:$A,0)))*12,"")</f>
        <v/>
      </c>
      <c r="J271" s="146" t="str">
        <f>_xlfn.IFNA(IF(C271="Residential",IF(VALUE(INDEX(Producer!$B:$B,MATCH($D271,Producer!$A:$A,0)))&lt;5,Constants!$C$10,""),IF(VALUE(INDEX(Producer!$B:$B,MATCH($D271,Producer!$A:$A,0)))&lt;5,Constants!$C$11,"")),"")</f>
        <v/>
      </c>
      <c r="K271" s="216" t="str">
        <f>_xlfn.IFNA(IF(($I271)&lt;60,DATE(YEAR(H271)+(5-VALUE(INDEX(Producer!$B:$B,MATCH($D271,Producer!$A:$A,0)))),MONTH(H271),DAY(H271)),""),"")</f>
        <v/>
      </c>
      <c r="L271" s="153" t="str">
        <f t="shared" si="114"/>
        <v/>
      </c>
      <c r="M271" s="146"/>
      <c r="N271" s="148"/>
      <c r="O271" s="148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  <c r="AA271" s="146"/>
      <c r="AB271" s="146"/>
      <c r="AC271" s="146"/>
      <c r="AD271" s="146"/>
      <c r="AE271" s="146"/>
      <c r="AF271" s="146"/>
      <c r="AG271" s="146"/>
      <c r="AH271" s="146"/>
      <c r="AI271" s="146"/>
      <c r="AJ271" s="146"/>
      <c r="AK271" s="146" t="str">
        <f>IF(D271="","",IF(C271="Residential",Constants!$B$10,Constants!$B$11))</f>
        <v/>
      </c>
      <c r="AL271" s="146" t="str">
        <f t="shared" si="115"/>
        <v/>
      </c>
      <c r="AM271" s="206" t="str">
        <f t="shared" si="116"/>
        <v/>
      </c>
      <c r="AN271" s="146" t="str">
        <f t="shared" si="117"/>
        <v/>
      </c>
      <c r="AO271" s="149" t="str">
        <f t="shared" si="118"/>
        <v/>
      </c>
      <c r="AP271" s="150" t="str">
        <f t="shared" si="119"/>
        <v/>
      </c>
      <c r="AQ271" s="146" t="str">
        <f>IFERROR(_xlfn.IFNA(IF($BA271="No",0,IF(INDEX(Constants!B:B,MATCH(($I271/12),Constants!$A:$A,0))=0,0,INDEX(Constants!B:B,MATCH(($I271/12),Constants!$A:$A,0)))),0),"")</f>
        <v/>
      </c>
      <c r="AR271" s="146" t="str">
        <f>IFERROR(_xlfn.IFNA(IF($BA271="No",0,IF(INDEX(Constants!C:C,MATCH(($I271/12),Constants!$A:$A,0))=0,0,INDEX(Constants!C:C,MATCH(($I271/12),Constants!$A:$A,0)))),0),"")</f>
        <v/>
      </c>
      <c r="AS271" s="146" t="str">
        <f>IFERROR(_xlfn.IFNA(IF($BA271="No",0,IF(INDEX(Constants!D:D,MATCH(($I271/12),Constants!$A:$A,0))=0,0,INDEX(Constants!D:D,MATCH(($I271/12),Constants!$A:$A,0)))),0),"")</f>
        <v/>
      </c>
      <c r="AT271" s="146" t="str">
        <f>IFERROR(_xlfn.IFNA(IF($BA271="No",0,IF(INDEX(Constants!E:E,MATCH(($I271/12),Constants!$A:$A,0))=0,0,INDEX(Constants!E:E,MATCH(($I271/12),Constants!$A:$A,0)))),0),"")</f>
        <v/>
      </c>
      <c r="AU271" s="146" t="str">
        <f>IFERROR(_xlfn.IFNA(IF($BA271="No",0,IF(INDEX(Constants!F:F,MATCH(($I271/12),Constants!$A:$A,0))=0,0,INDEX(Constants!F:F,MATCH(($I271/12),Constants!$A:$A,0)))),0),"")</f>
        <v/>
      </c>
      <c r="AV271" s="146" t="str">
        <f>IFERROR(_xlfn.IFNA(IF($BA271="No",0,IF(INDEX(Constants!G:G,MATCH(($I271/12),Constants!$A:$A,0))=0,0,INDEX(Constants!G:G,MATCH(($I271/12),Constants!$A:$A,0)))),0),"")</f>
        <v/>
      </c>
      <c r="AW271" s="146" t="str">
        <f>IFERROR(_xlfn.IFNA(IF($BA271="No",0,IF(INDEX(Constants!H:H,MATCH(($I271/12),Constants!$A:$A,0))=0,0,INDEX(Constants!H:H,MATCH(($I271/12),Constants!$A:$A,0)))),0),"")</f>
        <v/>
      </c>
      <c r="AX271" s="146" t="str">
        <f>IFERROR(_xlfn.IFNA(IF($BA271="No",0,IF(INDEX(Constants!I:I,MATCH(($I271/12),Constants!$A:$A,0))=0,0,INDEX(Constants!I:I,MATCH(($I271/12),Constants!$A:$A,0)))),0),"")</f>
        <v/>
      </c>
      <c r="AY271" s="146" t="str">
        <f>IFERROR(_xlfn.IFNA(IF($BA271="No",0,IF(INDEX(Constants!J:J,MATCH(($I271/12),Constants!$A:$A,0))=0,0,INDEX(Constants!J:J,MATCH(($I271/12),Constants!$A:$A,0)))),0),"")</f>
        <v/>
      </c>
      <c r="AZ271" s="146" t="str">
        <f>IFERROR(_xlfn.IFNA(IF($BA271="No",0,IF(INDEX(Constants!K:K,MATCH(($I271/12),Constants!$A:$A,0))=0,0,INDEX(Constants!K:K,MATCH(($I271/12),Constants!$A:$A,0)))),0),"")</f>
        <v/>
      </c>
      <c r="BA271" s="147" t="str">
        <f>_xlfn.IFNA(INDEX(Producer!$L:$L,MATCH($D271,Producer!$A:$A,0)),"")</f>
        <v/>
      </c>
      <c r="BB271" s="146" t="str">
        <f>IFERROR(IF(AQ271=0,"",IF(($I271/12)=15,_xlfn.CONCAT(Constants!$N$7,TEXT(DATE(YEAR(H271)-(($I271/12)-3),MONTH(H271),DAY(H271)),"dd/mm/yyyy"),", ",Constants!$P$7,TEXT(DATE(YEAR(H271)-(($I271/12)-8),MONTH(H271),DAY(H271)),"dd/mm/yyyy"),", ",Constants!$T$7,TEXT(DATE(YEAR(H271)-(($I271/12)-11),MONTH(H271),DAY(H271)),"dd/mm/yyyy"),", ",Constants!$V$7,TEXT(DATE(YEAR(H271)-(($I271/12)-13),MONTH(H271),DAY(H271)),"dd/mm/yyyy"),", ",Constants!$W$7,TEXT($H271,"dd/mm/yyyy")),IF(($I271/12)=10,_xlfn.CONCAT(Constants!$N$6,TEXT(DATE(YEAR(H271)-(($I271/12)-2),MONTH(H271),DAY(H271)),"dd/mm/yyyy"),", ",Constants!$P$6,TEXT(DATE(YEAR(H271)-(($I271/12)-6),MONTH(H271),DAY(H271)),"dd/mm/yyyy"),", ",Constants!$T$6,TEXT(DATE(YEAR(H271)-(($I271/12)-8),MONTH(H271),DAY(H271)),"dd/mm/yyyy"),", ",Constants!$V$6,TEXT(DATE(YEAR(H271)-(($I271/12)-9),MONTH(H271),DAY(H271)),"dd/mm/yyyy"),", ",Constants!$W$6,TEXT($H271,"dd/mm/yyyy")),IF(($I271/12)=5,_xlfn.CONCAT(Constants!$N$5,TEXT(DATE(YEAR(H271)-(($I271/12)-1),MONTH(H271),DAY(H271)),"dd/mm/yyyy"),", ",Constants!$O$5,TEXT(DATE(YEAR(H271)-(($I271/12)-2),MONTH(H271),DAY(H271)),"dd/mm/yyyy"),", ",Constants!$P$5,TEXT(DATE(YEAR(H271)-(($I271/12)-3),MONTH(H271),DAY(H271)),"dd/mm/yyyy"),", ",Constants!$Q$5,TEXT(DATE(YEAR(H271)-(($I271/12)-4),MONTH(H271),DAY(H271)),"dd/mm/yyyy"),", ",Constants!$R$5,TEXT($H271,"dd/mm/yyyy")),IF(($I271/12)=3,_xlfn.CONCAT(Constants!$N$4,TEXT(DATE(YEAR(H271)-(($I271/12)-1),MONTH(H271),DAY(H271)),"dd/mm/yyyy"),", ",Constants!$O$4,TEXT(DATE(YEAR(H271)-(($I271/12)-2),MONTH(H271),DAY(H271)),"dd/mm/yyyy"),", ",Constants!$P$4,TEXT($H271,"dd/mm/yyyy")),IF(($I271/12)=2,_xlfn.CONCAT(Constants!$N$3,TEXT(DATE(YEAR(H271)-(($I271/12)-1),MONTH(H271),DAY(H271)),"dd/mm/yyyy"),", ",Constants!$O$3,TEXT($H271,"dd/mm/yyyy")),IF(($I271/12)=1,_xlfn.CONCAT(Constants!$N$2,TEXT($H271,"dd/mm/yyyy")),"Update Constants"))))))),"")</f>
        <v/>
      </c>
      <c r="BC271" s="147" t="str">
        <f>_xlfn.IFNA(VALUE(INDEX(Producer!$K:$K,MATCH($D271,Producer!$A:$A,0))),"")</f>
        <v/>
      </c>
      <c r="BD271" s="147" t="str">
        <f>_xlfn.IFNA(INDEX(Producer!$I:$I,MATCH($D271,Producer!$A:$A,0)),"")</f>
        <v/>
      </c>
      <c r="BE271" s="147" t="str">
        <f t="shared" si="120"/>
        <v/>
      </c>
      <c r="BF271" s="147"/>
      <c r="BG271" s="147"/>
      <c r="BH271" s="151" t="str">
        <f>_xlfn.IFNA(INDEX(Constants!$B:$B,MATCH(BC271,Constants!A:A,0)),"")</f>
        <v/>
      </c>
      <c r="BI271" s="147" t="str">
        <f>IF(LEFT(B271,15)="Limited Company",Constants!$D$16,IFERROR(_xlfn.IFNA(IF(C271="Residential",IF(BK271&lt;75,INDEX(Constants!$B:$B,MATCH(VALUE(60)/100,Constants!$A:$A,0)),INDEX(Constants!$B:$B,MATCH(VALUE(BK271)/100,Constants!$A:$A,0))),IF(BK271&lt;60,INDEX(Constants!$C:$C,MATCH(VALUE(60)/100,Constants!$A:$A,0)),INDEX(Constants!$C:$C,MATCH(VALUE(BK271)/100,Constants!$A:$A,0)))),""),""))</f>
        <v/>
      </c>
      <c r="BJ271" s="147" t="str">
        <f t="shared" si="121"/>
        <v/>
      </c>
      <c r="BK271" s="147" t="str">
        <f>_xlfn.IFNA(VALUE(INDEX(Producer!$E:$E,MATCH($D271,Producer!$A:$A,0)))*100,"")</f>
        <v/>
      </c>
      <c r="BL271" s="146" t="str">
        <f>_xlfn.IFNA(IF(IFERROR(FIND("Part &amp; Part",B271),-10)&gt;0,"PP",IF(OR(LEFT(B271,25)="Residential Interest Only",INDEX(Producer!$P:$P,MATCH($D271,Producer!$A:$A,0))="IO",INDEX(Producer!$P:$P,MATCH($D271,Producer!$A:$A,0))="Retirement Interest Only"),"IO",IF($C271="BuyToLet","CI, IO","CI"))),"")</f>
        <v/>
      </c>
      <c r="BM271" s="152" t="str">
        <f>_xlfn.IFNA(IF(BL271="IO",100%,IF(AND(INDEX(Producer!$P:$P,MATCH($D271,Producer!$A:$A,0))="Residential Interest Only Part &amp; Part",BK271=75),80%,IF(C271="BuyToLet",100%,IF(BL271="Interest Only",100%,IF(AND(INDEX(Producer!$P:$P,MATCH($D271,Producer!$A:$A,0))="Residential Interest Only Part &amp; Part",BK271=60),100%,""))))),"")</f>
        <v/>
      </c>
      <c r="BN271" s="218" t="str">
        <f>_xlfn.IFNA(IF(VALUE(INDEX(Producer!$H:$H,MATCH($D271,Producer!$A:$A,0)))=0,"",VALUE(INDEX(Producer!$H:$H,MATCH($D271,Producer!$A:$A,0)))),"")</f>
        <v/>
      </c>
      <c r="BO271" s="153"/>
      <c r="BP271" s="153"/>
      <c r="BQ271" s="219" t="str">
        <f t="shared" si="122"/>
        <v/>
      </c>
      <c r="BR271" s="146"/>
      <c r="BS271" s="146"/>
      <c r="BT271" s="146"/>
      <c r="BU271" s="146"/>
      <c r="BV271" s="219" t="str">
        <f t="shared" si="123"/>
        <v/>
      </c>
      <c r="BW271" s="146"/>
      <c r="BX271" s="146"/>
      <c r="BY271" s="146" t="str">
        <f t="shared" si="124"/>
        <v/>
      </c>
      <c r="BZ271" s="146" t="str">
        <f t="shared" si="125"/>
        <v/>
      </c>
      <c r="CA271" s="146" t="str">
        <f t="shared" si="126"/>
        <v/>
      </c>
      <c r="CB271" s="146" t="str">
        <f t="shared" si="127"/>
        <v/>
      </c>
      <c r="CC271" s="146" t="str">
        <f>_xlfn.IFNA(IF(INDEX(Producer!$P:$P,MATCH($D271,Producer!$A:$A,0))="Help to Buy","Only available","No"),"")</f>
        <v/>
      </c>
      <c r="CD271" s="146" t="str">
        <f>_xlfn.IFNA(IF(INDEX(Producer!$P:$P,MATCH($D271,Producer!$A:$A,0))="Shared Ownership","Only available","No"),"")</f>
        <v/>
      </c>
      <c r="CE271" s="146" t="str">
        <f>_xlfn.IFNA(IF(INDEX(Producer!$P:$P,MATCH($D271,Producer!$A:$A,0))="Right to Buy","Only available","No"),"")</f>
        <v/>
      </c>
      <c r="CF271" s="146" t="str">
        <f t="shared" si="128"/>
        <v/>
      </c>
      <c r="CG271" s="146" t="str">
        <f>_xlfn.IFNA(IF(INDEX(Producer!$P:$P,MATCH($D271,Producer!$A:$A,0))="Retirement Interest Only","Only available","No"),"")</f>
        <v/>
      </c>
      <c r="CH271" s="146" t="str">
        <f t="shared" si="129"/>
        <v/>
      </c>
      <c r="CI271" s="146" t="str">
        <f>_xlfn.IFNA(IF(INDEX(Producer!$P:$P,MATCH($D271,Producer!$A:$A,0))="Intermediary Holiday Let","Only available","No"),"")</f>
        <v/>
      </c>
      <c r="CJ271" s="146" t="str">
        <f t="shared" si="130"/>
        <v/>
      </c>
      <c r="CK271" s="146" t="str">
        <f>_xlfn.IFNA(IF(OR(INDEX(Producer!$P:$P,MATCH($D271,Producer!$A:$A,0))="Intermediary Small HMO",INDEX(Producer!$P:$P,MATCH($D271,Producer!$A:$A,0))="Intermediary Large HMO"),"Only available","No"),"")</f>
        <v/>
      </c>
      <c r="CL271" s="146" t="str">
        <f t="shared" si="131"/>
        <v/>
      </c>
      <c r="CM271" s="146" t="str">
        <f t="shared" si="132"/>
        <v/>
      </c>
      <c r="CN271" s="146" t="str">
        <f t="shared" si="133"/>
        <v/>
      </c>
      <c r="CO271" s="146" t="str">
        <f t="shared" si="134"/>
        <v/>
      </c>
      <c r="CP271" s="146" t="str">
        <f t="shared" si="135"/>
        <v/>
      </c>
      <c r="CQ271" s="146" t="str">
        <f t="shared" si="136"/>
        <v/>
      </c>
      <c r="CR271" s="146" t="str">
        <f t="shared" si="137"/>
        <v/>
      </c>
      <c r="CS271" s="146" t="str">
        <f t="shared" si="138"/>
        <v/>
      </c>
      <c r="CT271" s="146" t="str">
        <f t="shared" si="139"/>
        <v/>
      </c>
      <c r="CU271" s="146"/>
    </row>
    <row r="272" spans="1:99" ht="16.399999999999999" customHeight="1" x14ac:dyDescent="0.35">
      <c r="A272" s="145" t="str">
        <f t="shared" si="112"/>
        <v/>
      </c>
      <c r="B272" s="145" t="str">
        <f>_xlfn.IFNA(_xlfn.CONCAT(INDEX(Producer!$P:$P,MATCH($D272,Producer!$A:$A,0))," ",IF(INDEX(Producer!$N:$N,MATCH($D272,Producer!$A:$A,0))="Yes","Green ",""),IF(AND(INDEX(Producer!$L:$L,MATCH($D272,Producer!$A:$A,0))="No",INDEX(Producer!$C:$C,MATCH($D272,Producer!$A:$A,0))="Fixed"),"Flexit ",""),INDEX(Producer!$B:$B,MATCH($D272,Producer!$A:$A,0))," Year ",INDEX(Producer!$C:$C,MATCH($D272,Producer!$A:$A,0))," ",VALUE(INDEX(Producer!$E:$E,MATCH($D272,Producer!$A:$A,0)))*100,"% LTV",IF(INDEX(Producer!$N:$N,MATCH($D272,Producer!$A:$A,0))="Yes"," (EPC A-C)","")," - ",IF(INDEX(Producer!$D:$D,MATCH($D272,Producer!$A:$A,0))="DLY","Daily","Annual")),"")</f>
        <v/>
      </c>
      <c r="C272" s="146" t="str">
        <f>_xlfn.IFNA(INDEX(Producer!$Q:$Q,MATCH($D272,Producer!$A:$A,0)),"")</f>
        <v/>
      </c>
      <c r="D272" s="146" t="str">
        <f>IFERROR(VALUE(MID(Producer!$R$2,IF($D271="",1/0,FIND(_xlfn.CONCAT($D270,$D271),Producer!$R$2)+10),5)),"")</f>
        <v/>
      </c>
      <c r="E272" s="146" t="str">
        <f t="shared" si="113"/>
        <v/>
      </c>
      <c r="F272" s="146"/>
      <c r="G272" s="147" t="str">
        <f>_xlfn.IFNA(VALUE(INDEX(Producer!$F:$F,MATCH($D272,Producer!$A:$A,0)))*100,"")</f>
        <v/>
      </c>
      <c r="H272" s="216" t="str">
        <f>_xlfn.IFNA(IFERROR(DATEVALUE(INDEX(Producer!$M:$M,MATCH($D272,Producer!$A:$A,0))),(INDEX(Producer!$M:$M,MATCH($D272,Producer!$A:$A,0)))),"")</f>
        <v/>
      </c>
      <c r="I272" s="217" t="str">
        <f>_xlfn.IFNA(VALUE(INDEX(Producer!$B:$B,MATCH($D272,Producer!$A:$A,0)))*12,"")</f>
        <v/>
      </c>
      <c r="J272" s="146" t="str">
        <f>_xlfn.IFNA(IF(C272="Residential",IF(VALUE(INDEX(Producer!$B:$B,MATCH($D272,Producer!$A:$A,0)))&lt;5,Constants!$C$10,""),IF(VALUE(INDEX(Producer!$B:$B,MATCH($D272,Producer!$A:$A,0)))&lt;5,Constants!$C$11,"")),"")</f>
        <v/>
      </c>
      <c r="K272" s="216" t="str">
        <f>_xlfn.IFNA(IF(($I272)&lt;60,DATE(YEAR(H272)+(5-VALUE(INDEX(Producer!$B:$B,MATCH($D272,Producer!$A:$A,0)))),MONTH(H272),DAY(H272)),""),"")</f>
        <v/>
      </c>
      <c r="L272" s="153" t="str">
        <f t="shared" si="114"/>
        <v/>
      </c>
      <c r="M272" s="146"/>
      <c r="N272" s="148"/>
      <c r="O272" s="148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  <c r="AA272" s="146"/>
      <c r="AB272" s="146"/>
      <c r="AC272" s="146"/>
      <c r="AD272" s="146"/>
      <c r="AE272" s="146"/>
      <c r="AF272" s="146"/>
      <c r="AG272" s="146"/>
      <c r="AH272" s="146"/>
      <c r="AI272" s="146"/>
      <c r="AJ272" s="146"/>
      <c r="AK272" s="146" t="str">
        <f>IF(D272="","",IF(C272="Residential",Constants!$B$10,Constants!$B$11))</f>
        <v/>
      </c>
      <c r="AL272" s="146" t="str">
        <f t="shared" si="115"/>
        <v/>
      </c>
      <c r="AM272" s="206" t="str">
        <f t="shared" si="116"/>
        <v/>
      </c>
      <c r="AN272" s="146" t="str">
        <f t="shared" si="117"/>
        <v/>
      </c>
      <c r="AO272" s="149" t="str">
        <f t="shared" si="118"/>
        <v/>
      </c>
      <c r="AP272" s="150" t="str">
        <f t="shared" si="119"/>
        <v/>
      </c>
      <c r="AQ272" s="146" t="str">
        <f>IFERROR(_xlfn.IFNA(IF($BA272="No",0,IF(INDEX(Constants!B:B,MATCH(($I272/12),Constants!$A:$A,0))=0,0,INDEX(Constants!B:B,MATCH(($I272/12),Constants!$A:$A,0)))),0),"")</f>
        <v/>
      </c>
      <c r="AR272" s="146" t="str">
        <f>IFERROR(_xlfn.IFNA(IF($BA272="No",0,IF(INDEX(Constants!C:C,MATCH(($I272/12),Constants!$A:$A,0))=0,0,INDEX(Constants!C:C,MATCH(($I272/12),Constants!$A:$A,0)))),0),"")</f>
        <v/>
      </c>
      <c r="AS272" s="146" t="str">
        <f>IFERROR(_xlfn.IFNA(IF($BA272="No",0,IF(INDEX(Constants!D:D,MATCH(($I272/12),Constants!$A:$A,0))=0,0,INDEX(Constants!D:D,MATCH(($I272/12),Constants!$A:$A,0)))),0),"")</f>
        <v/>
      </c>
      <c r="AT272" s="146" t="str">
        <f>IFERROR(_xlfn.IFNA(IF($BA272="No",0,IF(INDEX(Constants!E:E,MATCH(($I272/12),Constants!$A:$A,0))=0,0,INDEX(Constants!E:E,MATCH(($I272/12),Constants!$A:$A,0)))),0),"")</f>
        <v/>
      </c>
      <c r="AU272" s="146" t="str">
        <f>IFERROR(_xlfn.IFNA(IF($BA272="No",0,IF(INDEX(Constants!F:F,MATCH(($I272/12),Constants!$A:$A,0))=0,0,INDEX(Constants!F:F,MATCH(($I272/12),Constants!$A:$A,0)))),0),"")</f>
        <v/>
      </c>
      <c r="AV272" s="146" t="str">
        <f>IFERROR(_xlfn.IFNA(IF($BA272="No",0,IF(INDEX(Constants!G:G,MATCH(($I272/12),Constants!$A:$A,0))=0,0,INDEX(Constants!G:G,MATCH(($I272/12),Constants!$A:$A,0)))),0),"")</f>
        <v/>
      </c>
      <c r="AW272" s="146" t="str">
        <f>IFERROR(_xlfn.IFNA(IF($BA272="No",0,IF(INDEX(Constants!H:H,MATCH(($I272/12),Constants!$A:$A,0))=0,0,INDEX(Constants!H:H,MATCH(($I272/12),Constants!$A:$A,0)))),0),"")</f>
        <v/>
      </c>
      <c r="AX272" s="146" t="str">
        <f>IFERROR(_xlfn.IFNA(IF($BA272="No",0,IF(INDEX(Constants!I:I,MATCH(($I272/12),Constants!$A:$A,0))=0,0,INDEX(Constants!I:I,MATCH(($I272/12),Constants!$A:$A,0)))),0),"")</f>
        <v/>
      </c>
      <c r="AY272" s="146" t="str">
        <f>IFERROR(_xlfn.IFNA(IF($BA272="No",0,IF(INDEX(Constants!J:J,MATCH(($I272/12),Constants!$A:$A,0))=0,0,INDEX(Constants!J:J,MATCH(($I272/12),Constants!$A:$A,0)))),0),"")</f>
        <v/>
      </c>
      <c r="AZ272" s="146" t="str">
        <f>IFERROR(_xlfn.IFNA(IF($BA272="No",0,IF(INDEX(Constants!K:K,MATCH(($I272/12),Constants!$A:$A,0))=0,0,INDEX(Constants!K:K,MATCH(($I272/12),Constants!$A:$A,0)))),0),"")</f>
        <v/>
      </c>
      <c r="BA272" s="147" t="str">
        <f>_xlfn.IFNA(INDEX(Producer!$L:$L,MATCH($D272,Producer!$A:$A,0)),"")</f>
        <v/>
      </c>
      <c r="BB272" s="146" t="str">
        <f>IFERROR(IF(AQ272=0,"",IF(($I272/12)=15,_xlfn.CONCAT(Constants!$N$7,TEXT(DATE(YEAR(H272)-(($I272/12)-3),MONTH(H272),DAY(H272)),"dd/mm/yyyy"),", ",Constants!$P$7,TEXT(DATE(YEAR(H272)-(($I272/12)-8),MONTH(H272),DAY(H272)),"dd/mm/yyyy"),", ",Constants!$T$7,TEXT(DATE(YEAR(H272)-(($I272/12)-11),MONTH(H272),DAY(H272)),"dd/mm/yyyy"),", ",Constants!$V$7,TEXT(DATE(YEAR(H272)-(($I272/12)-13),MONTH(H272),DAY(H272)),"dd/mm/yyyy"),", ",Constants!$W$7,TEXT($H272,"dd/mm/yyyy")),IF(($I272/12)=10,_xlfn.CONCAT(Constants!$N$6,TEXT(DATE(YEAR(H272)-(($I272/12)-2),MONTH(H272),DAY(H272)),"dd/mm/yyyy"),", ",Constants!$P$6,TEXT(DATE(YEAR(H272)-(($I272/12)-6),MONTH(H272),DAY(H272)),"dd/mm/yyyy"),", ",Constants!$T$6,TEXT(DATE(YEAR(H272)-(($I272/12)-8),MONTH(H272),DAY(H272)),"dd/mm/yyyy"),", ",Constants!$V$6,TEXT(DATE(YEAR(H272)-(($I272/12)-9),MONTH(H272),DAY(H272)),"dd/mm/yyyy"),", ",Constants!$W$6,TEXT($H272,"dd/mm/yyyy")),IF(($I272/12)=5,_xlfn.CONCAT(Constants!$N$5,TEXT(DATE(YEAR(H272)-(($I272/12)-1),MONTH(H272),DAY(H272)),"dd/mm/yyyy"),", ",Constants!$O$5,TEXT(DATE(YEAR(H272)-(($I272/12)-2),MONTH(H272),DAY(H272)),"dd/mm/yyyy"),", ",Constants!$P$5,TEXT(DATE(YEAR(H272)-(($I272/12)-3),MONTH(H272),DAY(H272)),"dd/mm/yyyy"),", ",Constants!$Q$5,TEXT(DATE(YEAR(H272)-(($I272/12)-4),MONTH(H272),DAY(H272)),"dd/mm/yyyy"),", ",Constants!$R$5,TEXT($H272,"dd/mm/yyyy")),IF(($I272/12)=3,_xlfn.CONCAT(Constants!$N$4,TEXT(DATE(YEAR(H272)-(($I272/12)-1),MONTH(H272),DAY(H272)),"dd/mm/yyyy"),", ",Constants!$O$4,TEXT(DATE(YEAR(H272)-(($I272/12)-2),MONTH(H272),DAY(H272)),"dd/mm/yyyy"),", ",Constants!$P$4,TEXT($H272,"dd/mm/yyyy")),IF(($I272/12)=2,_xlfn.CONCAT(Constants!$N$3,TEXT(DATE(YEAR(H272)-(($I272/12)-1),MONTH(H272),DAY(H272)),"dd/mm/yyyy"),", ",Constants!$O$3,TEXT($H272,"dd/mm/yyyy")),IF(($I272/12)=1,_xlfn.CONCAT(Constants!$N$2,TEXT($H272,"dd/mm/yyyy")),"Update Constants"))))))),"")</f>
        <v/>
      </c>
      <c r="BC272" s="147" t="str">
        <f>_xlfn.IFNA(VALUE(INDEX(Producer!$K:$K,MATCH($D272,Producer!$A:$A,0))),"")</f>
        <v/>
      </c>
      <c r="BD272" s="147" t="str">
        <f>_xlfn.IFNA(INDEX(Producer!$I:$I,MATCH($D272,Producer!$A:$A,0)),"")</f>
        <v/>
      </c>
      <c r="BE272" s="147" t="str">
        <f t="shared" si="120"/>
        <v/>
      </c>
      <c r="BF272" s="147"/>
      <c r="BG272" s="147"/>
      <c r="BH272" s="151" t="str">
        <f>_xlfn.IFNA(INDEX(Constants!$B:$B,MATCH(BC272,Constants!A:A,0)),"")</f>
        <v/>
      </c>
      <c r="BI272" s="147" t="str">
        <f>IF(LEFT(B272,15)="Limited Company",Constants!$D$16,IFERROR(_xlfn.IFNA(IF(C272="Residential",IF(BK272&lt;75,INDEX(Constants!$B:$B,MATCH(VALUE(60)/100,Constants!$A:$A,0)),INDEX(Constants!$B:$B,MATCH(VALUE(BK272)/100,Constants!$A:$A,0))),IF(BK272&lt;60,INDEX(Constants!$C:$C,MATCH(VALUE(60)/100,Constants!$A:$A,0)),INDEX(Constants!$C:$C,MATCH(VALUE(BK272)/100,Constants!$A:$A,0)))),""),""))</f>
        <v/>
      </c>
      <c r="BJ272" s="147" t="str">
        <f t="shared" si="121"/>
        <v/>
      </c>
      <c r="BK272" s="147" t="str">
        <f>_xlfn.IFNA(VALUE(INDEX(Producer!$E:$E,MATCH($D272,Producer!$A:$A,0)))*100,"")</f>
        <v/>
      </c>
      <c r="BL272" s="146" t="str">
        <f>_xlfn.IFNA(IF(IFERROR(FIND("Part &amp; Part",B272),-10)&gt;0,"PP",IF(OR(LEFT(B272,25)="Residential Interest Only",INDEX(Producer!$P:$P,MATCH($D272,Producer!$A:$A,0))="IO",INDEX(Producer!$P:$P,MATCH($D272,Producer!$A:$A,0))="Retirement Interest Only"),"IO",IF($C272="BuyToLet","CI, IO","CI"))),"")</f>
        <v/>
      </c>
      <c r="BM272" s="152" t="str">
        <f>_xlfn.IFNA(IF(BL272="IO",100%,IF(AND(INDEX(Producer!$P:$P,MATCH($D272,Producer!$A:$A,0))="Residential Interest Only Part &amp; Part",BK272=75),80%,IF(C272="BuyToLet",100%,IF(BL272="Interest Only",100%,IF(AND(INDEX(Producer!$P:$P,MATCH($D272,Producer!$A:$A,0))="Residential Interest Only Part &amp; Part",BK272=60),100%,""))))),"")</f>
        <v/>
      </c>
      <c r="BN272" s="218" t="str">
        <f>_xlfn.IFNA(IF(VALUE(INDEX(Producer!$H:$H,MATCH($D272,Producer!$A:$A,0)))=0,"",VALUE(INDEX(Producer!$H:$H,MATCH($D272,Producer!$A:$A,0)))),"")</f>
        <v/>
      </c>
      <c r="BO272" s="153"/>
      <c r="BP272" s="153"/>
      <c r="BQ272" s="219" t="str">
        <f t="shared" si="122"/>
        <v/>
      </c>
      <c r="BR272" s="146"/>
      <c r="BS272" s="146"/>
      <c r="BT272" s="146"/>
      <c r="BU272" s="146"/>
      <c r="BV272" s="219" t="str">
        <f t="shared" si="123"/>
        <v/>
      </c>
      <c r="BW272" s="146"/>
      <c r="BX272" s="146"/>
      <c r="BY272" s="146" t="str">
        <f t="shared" si="124"/>
        <v/>
      </c>
      <c r="BZ272" s="146" t="str">
        <f t="shared" si="125"/>
        <v/>
      </c>
      <c r="CA272" s="146" t="str">
        <f t="shared" si="126"/>
        <v/>
      </c>
      <c r="CB272" s="146" t="str">
        <f t="shared" si="127"/>
        <v/>
      </c>
      <c r="CC272" s="146" t="str">
        <f>_xlfn.IFNA(IF(INDEX(Producer!$P:$P,MATCH($D272,Producer!$A:$A,0))="Help to Buy","Only available","No"),"")</f>
        <v/>
      </c>
      <c r="CD272" s="146" t="str">
        <f>_xlfn.IFNA(IF(INDEX(Producer!$P:$P,MATCH($D272,Producer!$A:$A,0))="Shared Ownership","Only available","No"),"")</f>
        <v/>
      </c>
      <c r="CE272" s="146" t="str">
        <f>_xlfn.IFNA(IF(INDEX(Producer!$P:$P,MATCH($D272,Producer!$A:$A,0))="Right to Buy","Only available","No"),"")</f>
        <v/>
      </c>
      <c r="CF272" s="146" t="str">
        <f t="shared" si="128"/>
        <v/>
      </c>
      <c r="CG272" s="146" t="str">
        <f>_xlfn.IFNA(IF(INDEX(Producer!$P:$P,MATCH($D272,Producer!$A:$A,0))="Retirement Interest Only","Only available","No"),"")</f>
        <v/>
      </c>
      <c r="CH272" s="146" t="str">
        <f t="shared" si="129"/>
        <v/>
      </c>
      <c r="CI272" s="146" t="str">
        <f>_xlfn.IFNA(IF(INDEX(Producer!$P:$P,MATCH($D272,Producer!$A:$A,0))="Intermediary Holiday Let","Only available","No"),"")</f>
        <v/>
      </c>
      <c r="CJ272" s="146" t="str">
        <f t="shared" si="130"/>
        <v/>
      </c>
      <c r="CK272" s="146" t="str">
        <f>_xlfn.IFNA(IF(OR(INDEX(Producer!$P:$P,MATCH($D272,Producer!$A:$A,0))="Intermediary Small HMO",INDEX(Producer!$P:$P,MATCH($D272,Producer!$A:$A,0))="Intermediary Large HMO"),"Only available","No"),"")</f>
        <v/>
      </c>
      <c r="CL272" s="146" t="str">
        <f t="shared" si="131"/>
        <v/>
      </c>
      <c r="CM272" s="146" t="str">
        <f t="shared" si="132"/>
        <v/>
      </c>
      <c r="CN272" s="146" t="str">
        <f t="shared" si="133"/>
        <v/>
      </c>
      <c r="CO272" s="146" t="str">
        <f t="shared" si="134"/>
        <v/>
      </c>
      <c r="CP272" s="146" t="str">
        <f t="shared" si="135"/>
        <v/>
      </c>
      <c r="CQ272" s="146" t="str">
        <f t="shared" si="136"/>
        <v/>
      </c>
      <c r="CR272" s="146" t="str">
        <f t="shared" si="137"/>
        <v/>
      </c>
      <c r="CS272" s="146" t="str">
        <f t="shared" si="138"/>
        <v/>
      </c>
      <c r="CT272" s="146" t="str">
        <f t="shared" si="139"/>
        <v/>
      </c>
      <c r="CU272" s="146"/>
    </row>
    <row r="273" spans="1:99" ht="16.399999999999999" customHeight="1" x14ac:dyDescent="0.35">
      <c r="A273" s="145" t="str">
        <f t="shared" si="112"/>
        <v/>
      </c>
      <c r="B273" s="145" t="str">
        <f>_xlfn.IFNA(_xlfn.CONCAT(INDEX(Producer!$P:$P,MATCH($D273,Producer!$A:$A,0))," ",IF(INDEX(Producer!$N:$N,MATCH($D273,Producer!$A:$A,0))="Yes","Green ",""),IF(AND(INDEX(Producer!$L:$L,MATCH($D273,Producer!$A:$A,0))="No",INDEX(Producer!$C:$C,MATCH($D273,Producer!$A:$A,0))="Fixed"),"Flexit ",""),INDEX(Producer!$B:$B,MATCH($D273,Producer!$A:$A,0))," Year ",INDEX(Producer!$C:$C,MATCH($D273,Producer!$A:$A,0))," ",VALUE(INDEX(Producer!$E:$E,MATCH($D273,Producer!$A:$A,0)))*100,"% LTV",IF(INDEX(Producer!$N:$N,MATCH($D273,Producer!$A:$A,0))="Yes"," (EPC A-C)","")," - ",IF(INDEX(Producer!$D:$D,MATCH($D273,Producer!$A:$A,0))="DLY","Daily","Annual")),"")</f>
        <v/>
      </c>
      <c r="C273" s="146" t="str">
        <f>_xlfn.IFNA(INDEX(Producer!$Q:$Q,MATCH($D273,Producer!$A:$A,0)),"")</f>
        <v/>
      </c>
      <c r="D273" s="146" t="str">
        <f>IFERROR(VALUE(MID(Producer!$R$2,IF($D272="",1/0,FIND(_xlfn.CONCAT($D271,$D272),Producer!$R$2)+10),5)),"")</f>
        <v/>
      </c>
      <c r="E273" s="146" t="str">
        <f t="shared" si="113"/>
        <v/>
      </c>
      <c r="F273" s="146"/>
      <c r="G273" s="147" t="str">
        <f>_xlfn.IFNA(VALUE(INDEX(Producer!$F:$F,MATCH($D273,Producer!$A:$A,0)))*100,"")</f>
        <v/>
      </c>
      <c r="H273" s="216" t="str">
        <f>_xlfn.IFNA(IFERROR(DATEVALUE(INDEX(Producer!$M:$M,MATCH($D273,Producer!$A:$A,0))),(INDEX(Producer!$M:$M,MATCH($D273,Producer!$A:$A,0)))),"")</f>
        <v/>
      </c>
      <c r="I273" s="217" t="str">
        <f>_xlfn.IFNA(VALUE(INDEX(Producer!$B:$B,MATCH($D273,Producer!$A:$A,0)))*12,"")</f>
        <v/>
      </c>
      <c r="J273" s="146" t="str">
        <f>_xlfn.IFNA(IF(C273="Residential",IF(VALUE(INDEX(Producer!$B:$B,MATCH($D273,Producer!$A:$A,0)))&lt;5,Constants!$C$10,""),IF(VALUE(INDEX(Producer!$B:$B,MATCH($D273,Producer!$A:$A,0)))&lt;5,Constants!$C$11,"")),"")</f>
        <v/>
      </c>
      <c r="K273" s="216" t="str">
        <f>_xlfn.IFNA(IF(($I273)&lt;60,DATE(YEAR(H273)+(5-VALUE(INDEX(Producer!$B:$B,MATCH($D273,Producer!$A:$A,0)))),MONTH(H273),DAY(H273)),""),"")</f>
        <v/>
      </c>
      <c r="L273" s="153" t="str">
        <f t="shared" si="114"/>
        <v/>
      </c>
      <c r="M273" s="146"/>
      <c r="N273" s="148"/>
      <c r="O273" s="148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  <c r="AB273" s="146"/>
      <c r="AC273" s="146"/>
      <c r="AD273" s="146"/>
      <c r="AE273" s="146"/>
      <c r="AF273" s="146"/>
      <c r="AG273" s="146"/>
      <c r="AH273" s="146"/>
      <c r="AI273" s="146"/>
      <c r="AJ273" s="146"/>
      <c r="AK273" s="146" t="str">
        <f>IF(D273="","",IF(C273="Residential",Constants!$B$10,Constants!$B$11))</f>
        <v/>
      </c>
      <c r="AL273" s="146" t="str">
        <f t="shared" si="115"/>
        <v/>
      </c>
      <c r="AM273" s="206" t="str">
        <f t="shared" si="116"/>
        <v/>
      </c>
      <c r="AN273" s="146" t="str">
        <f t="shared" si="117"/>
        <v/>
      </c>
      <c r="AO273" s="149" t="str">
        <f t="shared" si="118"/>
        <v/>
      </c>
      <c r="AP273" s="150" t="str">
        <f t="shared" si="119"/>
        <v/>
      </c>
      <c r="AQ273" s="146" t="str">
        <f>IFERROR(_xlfn.IFNA(IF($BA273="No",0,IF(INDEX(Constants!B:B,MATCH(($I273/12),Constants!$A:$A,0))=0,0,INDEX(Constants!B:B,MATCH(($I273/12),Constants!$A:$A,0)))),0),"")</f>
        <v/>
      </c>
      <c r="AR273" s="146" t="str">
        <f>IFERROR(_xlfn.IFNA(IF($BA273="No",0,IF(INDEX(Constants!C:C,MATCH(($I273/12),Constants!$A:$A,0))=0,0,INDEX(Constants!C:C,MATCH(($I273/12),Constants!$A:$A,0)))),0),"")</f>
        <v/>
      </c>
      <c r="AS273" s="146" t="str">
        <f>IFERROR(_xlfn.IFNA(IF($BA273="No",0,IF(INDEX(Constants!D:D,MATCH(($I273/12),Constants!$A:$A,0))=0,0,INDEX(Constants!D:D,MATCH(($I273/12),Constants!$A:$A,0)))),0),"")</f>
        <v/>
      </c>
      <c r="AT273" s="146" t="str">
        <f>IFERROR(_xlfn.IFNA(IF($BA273="No",0,IF(INDEX(Constants!E:E,MATCH(($I273/12),Constants!$A:$A,0))=0,0,INDEX(Constants!E:E,MATCH(($I273/12),Constants!$A:$A,0)))),0),"")</f>
        <v/>
      </c>
      <c r="AU273" s="146" t="str">
        <f>IFERROR(_xlfn.IFNA(IF($BA273="No",0,IF(INDEX(Constants!F:F,MATCH(($I273/12),Constants!$A:$A,0))=0,0,INDEX(Constants!F:F,MATCH(($I273/12),Constants!$A:$A,0)))),0),"")</f>
        <v/>
      </c>
      <c r="AV273" s="146" t="str">
        <f>IFERROR(_xlfn.IFNA(IF($BA273="No",0,IF(INDEX(Constants!G:G,MATCH(($I273/12),Constants!$A:$A,0))=0,0,INDEX(Constants!G:G,MATCH(($I273/12),Constants!$A:$A,0)))),0),"")</f>
        <v/>
      </c>
      <c r="AW273" s="146" t="str">
        <f>IFERROR(_xlfn.IFNA(IF($BA273="No",0,IF(INDEX(Constants!H:H,MATCH(($I273/12),Constants!$A:$A,0))=0,0,INDEX(Constants!H:H,MATCH(($I273/12),Constants!$A:$A,0)))),0),"")</f>
        <v/>
      </c>
      <c r="AX273" s="146" t="str">
        <f>IFERROR(_xlfn.IFNA(IF($BA273="No",0,IF(INDEX(Constants!I:I,MATCH(($I273/12),Constants!$A:$A,0))=0,0,INDEX(Constants!I:I,MATCH(($I273/12),Constants!$A:$A,0)))),0),"")</f>
        <v/>
      </c>
      <c r="AY273" s="146" t="str">
        <f>IFERROR(_xlfn.IFNA(IF($BA273="No",0,IF(INDEX(Constants!J:J,MATCH(($I273/12),Constants!$A:$A,0))=0,0,INDEX(Constants!J:J,MATCH(($I273/12),Constants!$A:$A,0)))),0),"")</f>
        <v/>
      </c>
      <c r="AZ273" s="146" t="str">
        <f>IFERROR(_xlfn.IFNA(IF($BA273="No",0,IF(INDEX(Constants!K:K,MATCH(($I273/12),Constants!$A:$A,0))=0,0,INDEX(Constants!K:K,MATCH(($I273/12),Constants!$A:$A,0)))),0),"")</f>
        <v/>
      </c>
      <c r="BA273" s="147" t="str">
        <f>_xlfn.IFNA(INDEX(Producer!$L:$L,MATCH($D273,Producer!$A:$A,0)),"")</f>
        <v/>
      </c>
      <c r="BB273" s="146" t="str">
        <f>IFERROR(IF(AQ273=0,"",IF(($I273/12)=15,_xlfn.CONCAT(Constants!$N$7,TEXT(DATE(YEAR(H273)-(($I273/12)-3),MONTH(H273),DAY(H273)),"dd/mm/yyyy"),", ",Constants!$P$7,TEXT(DATE(YEAR(H273)-(($I273/12)-8),MONTH(H273),DAY(H273)),"dd/mm/yyyy"),", ",Constants!$T$7,TEXT(DATE(YEAR(H273)-(($I273/12)-11),MONTH(H273),DAY(H273)),"dd/mm/yyyy"),", ",Constants!$V$7,TEXT(DATE(YEAR(H273)-(($I273/12)-13),MONTH(H273),DAY(H273)),"dd/mm/yyyy"),", ",Constants!$W$7,TEXT($H273,"dd/mm/yyyy")),IF(($I273/12)=10,_xlfn.CONCAT(Constants!$N$6,TEXT(DATE(YEAR(H273)-(($I273/12)-2),MONTH(H273),DAY(H273)),"dd/mm/yyyy"),", ",Constants!$P$6,TEXT(DATE(YEAR(H273)-(($I273/12)-6),MONTH(H273),DAY(H273)),"dd/mm/yyyy"),", ",Constants!$T$6,TEXT(DATE(YEAR(H273)-(($I273/12)-8),MONTH(H273),DAY(H273)),"dd/mm/yyyy"),", ",Constants!$V$6,TEXT(DATE(YEAR(H273)-(($I273/12)-9),MONTH(H273),DAY(H273)),"dd/mm/yyyy"),", ",Constants!$W$6,TEXT($H273,"dd/mm/yyyy")),IF(($I273/12)=5,_xlfn.CONCAT(Constants!$N$5,TEXT(DATE(YEAR(H273)-(($I273/12)-1),MONTH(H273),DAY(H273)),"dd/mm/yyyy"),", ",Constants!$O$5,TEXT(DATE(YEAR(H273)-(($I273/12)-2),MONTH(H273),DAY(H273)),"dd/mm/yyyy"),", ",Constants!$P$5,TEXT(DATE(YEAR(H273)-(($I273/12)-3),MONTH(H273),DAY(H273)),"dd/mm/yyyy"),", ",Constants!$Q$5,TEXT(DATE(YEAR(H273)-(($I273/12)-4),MONTH(H273),DAY(H273)),"dd/mm/yyyy"),", ",Constants!$R$5,TEXT($H273,"dd/mm/yyyy")),IF(($I273/12)=3,_xlfn.CONCAT(Constants!$N$4,TEXT(DATE(YEAR(H273)-(($I273/12)-1),MONTH(H273),DAY(H273)),"dd/mm/yyyy"),", ",Constants!$O$4,TEXT(DATE(YEAR(H273)-(($I273/12)-2),MONTH(H273),DAY(H273)),"dd/mm/yyyy"),", ",Constants!$P$4,TEXT($H273,"dd/mm/yyyy")),IF(($I273/12)=2,_xlfn.CONCAT(Constants!$N$3,TEXT(DATE(YEAR(H273)-(($I273/12)-1),MONTH(H273),DAY(H273)),"dd/mm/yyyy"),", ",Constants!$O$3,TEXT($H273,"dd/mm/yyyy")),IF(($I273/12)=1,_xlfn.CONCAT(Constants!$N$2,TEXT($H273,"dd/mm/yyyy")),"Update Constants"))))))),"")</f>
        <v/>
      </c>
      <c r="BC273" s="147" t="str">
        <f>_xlfn.IFNA(VALUE(INDEX(Producer!$K:$K,MATCH($D273,Producer!$A:$A,0))),"")</f>
        <v/>
      </c>
      <c r="BD273" s="147" t="str">
        <f>_xlfn.IFNA(INDEX(Producer!$I:$I,MATCH($D273,Producer!$A:$A,0)),"")</f>
        <v/>
      </c>
      <c r="BE273" s="147" t="str">
        <f t="shared" si="120"/>
        <v/>
      </c>
      <c r="BF273" s="147"/>
      <c r="BG273" s="147"/>
      <c r="BH273" s="151" t="str">
        <f>_xlfn.IFNA(INDEX(Constants!$B:$B,MATCH(BC273,Constants!A:A,0)),"")</f>
        <v/>
      </c>
      <c r="BI273" s="147" t="str">
        <f>IF(LEFT(B273,15)="Limited Company",Constants!$D$16,IFERROR(_xlfn.IFNA(IF(C273="Residential",IF(BK273&lt;75,INDEX(Constants!$B:$B,MATCH(VALUE(60)/100,Constants!$A:$A,0)),INDEX(Constants!$B:$B,MATCH(VALUE(BK273)/100,Constants!$A:$A,0))),IF(BK273&lt;60,INDEX(Constants!$C:$C,MATCH(VALUE(60)/100,Constants!$A:$A,0)),INDEX(Constants!$C:$C,MATCH(VALUE(BK273)/100,Constants!$A:$A,0)))),""),""))</f>
        <v/>
      </c>
      <c r="BJ273" s="147" t="str">
        <f t="shared" si="121"/>
        <v/>
      </c>
      <c r="BK273" s="147" t="str">
        <f>_xlfn.IFNA(VALUE(INDEX(Producer!$E:$E,MATCH($D273,Producer!$A:$A,0)))*100,"")</f>
        <v/>
      </c>
      <c r="BL273" s="146" t="str">
        <f>_xlfn.IFNA(IF(IFERROR(FIND("Part &amp; Part",B273),-10)&gt;0,"PP",IF(OR(LEFT(B273,25)="Residential Interest Only",INDEX(Producer!$P:$P,MATCH($D273,Producer!$A:$A,0))="IO",INDEX(Producer!$P:$P,MATCH($D273,Producer!$A:$A,0))="Retirement Interest Only"),"IO",IF($C273="BuyToLet","CI, IO","CI"))),"")</f>
        <v/>
      </c>
      <c r="BM273" s="152" t="str">
        <f>_xlfn.IFNA(IF(BL273="IO",100%,IF(AND(INDEX(Producer!$P:$P,MATCH($D273,Producer!$A:$A,0))="Residential Interest Only Part &amp; Part",BK273=75),80%,IF(C273="BuyToLet",100%,IF(BL273="Interest Only",100%,IF(AND(INDEX(Producer!$P:$P,MATCH($D273,Producer!$A:$A,0))="Residential Interest Only Part &amp; Part",BK273=60),100%,""))))),"")</f>
        <v/>
      </c>
      <c r="BN273" s="218" t="str">
        <f>_xlfn.IFNA(IF(VALUE(INDEX(Producer!$H:$H,MATCH($D273,Producer!$A:$A,0)))=0,"",VALUE(INDEX(Producer!$H:$H,MATCH($D273,Producer!$A:$A,0)))),"")</f>
        <v/>
      </c>
      <c r="BO273" s="153"/>
      <c r="BP273" s="153"/>
      <c r="BQ273" s="219" t="str">
        <f t="shared" si="122"/>
        <v/>
      </c>
      <c r="BR273" s="146"/>
      <c r="BS273" s="146"/>
      <c r="BT273" s="146"/>
      <c r="BU273" s="146"/>
      <c r="BV273" s="219" t="str">
        <f t="shared" si="123"/>
        <v/>
      </c>
      <c r="BW273" s="146"/>
      <c r="BX273" s="146"/>
      <c r="BY273" s="146" t="str">
        <f t="shared" si="124"/>
        <v/>
      </c>
      <c r="BZ273" s="146" t="str">
        <f t="shared" si="125"/>
        <v/>
      </c>
      <c r="CA273" s="146" t="str">
        <f t="shared" si="126"/>
        <v/>
      </c>
      <c r="CB273" s="146" t="str">
        <f t="shared" si="127"/>
        <v/>
      </c>
      <c r="CC273" s="146" t="str">
        <f>_xlfn.IFNA(IF(INDEX(Producer!$P:$P,MATCH($D273,Producer!$A:$A,0))="Help to Buy","Only available","No"),"")</f>
        <v/>
      </c>
      <c r="CD273" s="146" t="str">
        <f>_xlfn.IFNA(IF(INDEX(Producer!$P:$P,MATCH($D273,Producer!$A:$A,0))="Shared Ownership","Only available","No"),"")</f>
        <v/>
      </c>
      <c r="CE273" s="146" t="str">
        <f>_xlfn.IFNA(IF(INDEX(Producer!$P:$P,MATCH($D273,Producer!$A:$A,0))="Right to Buy","Only available","No"),"")</f>
        <v/>
      </c>
      <c r="CF273" s="146" t="str">
        <f t="shared" si="128"/>
        <v/>
      </c>
      <c r="CG273" s="146" t="str">
        <f>_xlfn.IFNA(IF(INDEX(Producer!$P:$P,MATCH($D273,Producer!$A:$A,0))="Retirement Interest Only","Only available","No"),"")</f>
        <v/>
      </c>
      <c r="CH273" s="146" t="str">
        <f t="shared" si="129"/>
        <v/>
      </c>
      <c r="CI273" s="146" t="str">
        <f>_xlfn.IFNA(IF(INDEX(Producer!$P:$P,MATCH($D273,Producer!$A:$A,0))="Intermediary Holiday Let","Only available","No"),"")</f>
        <v/>
      </c>
      <c r="CJ273" s="146" t="str">
        <f t="shared" si="130"/>
        <v/>
      </c>
      <c r="CK273" s="146" t="str">
        <f>_xlfn.IFNA(IF(OR(INDEX(Producer!$P:$P,MATCH($D273,Producer!$A:$A,0))="Intermediary Small HMO",INDEX(Producer!$P:$P,MATCH($D273,Producer!$A:$A,0))="Intermediary Large HMO"),"Only available","No"),"")</f>
        <v/>
      </c>
      <c r="CL273" s="146" t="str">
        <f t="shared" si="131"/>
        <v/>
      </c>
      <c r="CM273" s="146" t="str">
        <f t="shared" si="132"/>
        <v/>
      </c>
      <c r="CN273" s="146" t="str">
        <f t="shared" si="133"/>
        <v/>
      </c>
      <c r="CO273" s="146" t="str">
        <f t="shared" si="134"/>
        <v/>
      </c>
      <c r="CP273" s="146" t="str">
        <f t="shared" si="135"/>
        <v/>
      </c>
      <c r="CQ273" s="146" t="str">
        <f t="shared" si="136"/>
        <v/>
      </c>
      <c r="CR273" s="146" t="str">
        <f t="shared" si="137"/>
        <v/>
      </c>
      <c r="CS273" s="146" t="str">
        <f t="shared" si="138"/>
        <v/>
      </c>
      <c r="CT273" s="146" t="str">
        <f t="shared" si="139"/>
        <v/>
      </c>
      <c r="CU273" s="146"/>
    </row>
    <row r="274" spans="1:99" ht="16.399999999999999" customHeight="1" x14ac:dyDescent="0.35">
      <c r="A274" s="145" t="str">
        <f t="shared" si="112"/>
        <v/>
      </c>
      <c r="B274" s="145" t="str">
        <f>_xlfn.IFNA(_xlfn.CONCAT(INDEX(Producer!$P:$P,MATCH($D274,Producer!$A:$A,0))," ",IF(INDEX(Producer!$N:$N,MATCH($D274,Producer!$A:$A,0))="Yes","Green ",""),IF(AND(INDEX(Producer!$L:$L,MATCH($D274,Producer!$A:$A,0))="No",INDEX(Producer!$C:$C,MATCH($D274,Producer!$A:$A,0))="Fixed"),"Flexit ",""),INDEX(Producer!$B:$B,MATCH($D274,Producer!$A:$A,0))," Year ",INDEX(Producer!$C:$C,MATCH($D274,Producer!$A:$A,0))," ",VALUE(INDEX(Producer!$E:$E,MATCH($D274,Producer!$A:$A,0)))*100,"% LTV",IF(INDEX(Producer!$N:$N,MATCH($D274,Producer!$A:$A,0))="Yes"," (EPC A-C)","")," - ",IF(INDEX(Producer!$D:$D,MATCH($D274,Producer!$A:$A,0))="DLY","Daily","Annual")),"")</f>
        <v/>
      </c>
      <c r="C274" s="146" t="str">
        <f>_xlfn.IFNA(INDEX(Producer!$Q:$Q,MATCH($D274,Producer!$A:$A,0)),"")</f>
        <v/>
      </c>
      <c r="D274" s="146" t="str">
        <f>IFERROR(VALUE(MID(Producer!$R$2,IF($D273="",1/0,FIND(_xlfn.CONCAT($D272,$D273),Producer!$R$2)+10),5)),"")</f>
        <v/>
      </c>
      <c r="E274" s="146" t="str">
        <f t="shared" si="113"/>
        <v/>
      </c>
      <c r="F274" s="146"/>
      <c r="G274" s="147" t="str">
        <f>_xlfn.IFNA(VALUE(INDEX(Producer!$F:$F,MATCH($D274,Producer!$A:$A,0)))*100,"")</f>
        <v/>
      </c>
      <c r="H274" s="216" t="str">
        <f>_xlfn.IFNA(IFERROR(DATEVALUE(INDEX(Producer!$M:$M,MATCH($D274,Producer!$A:$A,0))),(INDEX(Producer!$M:$M,MATCH($D274,Producer!$A:$A,0)))),"")</f>
        <v/>
      </c>
      <c r="I274" s="217" t="str">
        <f>_xlfn.IFNA(VALUE(INDEX(Producer!$B:$B,MATCH($D274,Producer!$A:$A,0)))*12,"")</f>
        <v/>
      </c>
      <c r="J274" s="146" t="str">
        <f>_xlfn.IFNA(IF(C274="Residential",IF(VALUE(INDEX(Producer!$B:$B,MATCH($D274,Producer!$A:$A,0)))&lt;5,Constants!$C$10,""),IF(VALUE(INDEX(Producer!$B:$B,MATCH($D274,Producer!$A:$A,0)))&lt;5,Constants!$C$11,"")),"")</f>
        <v/>
      </c>
      <c r="K274" s="216" t="str">
        <f>_xlfn.IFNA(IF(($I274)&lt;60,DATE(YEAR(H274)+(5-VALUE(INDEX(Producer!$B:$B,MATCH($D274,Producer!$A:$A,0)))),MONTH(H274),DAY(H274)),""),"")</f>
        <v/>
      </c>
      <c r="L274" s="153" t="str">
        <f t="shared" si="114"/>
        <v/>
      </c>
      <c r="M274" s="146"/>
      <c r="N274" s="148"/>
      <c r="O274" s="148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/>
      <c r="AB274" s="146"/>
      <c r="AC274" s="146"/>
      <c r="AD274" s="146"/>
      <c r="AE274" s="146"/>
      <c r="AF274" s="146"/>
      <c r="AG274" s="146"/>
      <c r="AH274" s="146"/>
      <c r="AI274" s="146"/>
      <c r="AJ274" s="146"/>
      <c r="AK274" s="146" t="str">
        <f>IF(D274="","",IF(C274="Residential",Constants!$B$10,Constants!$B$11))</f>
        <v/>
      </c>
      <c r="AL274" s="146" t="str">
        <f t="shared" si="115"/>
        <v/>
      </c>
      <c r="AM274" s="206" t="str">
        <f t="shared" si="116"/>
        <v/>
      </c>
      <c r="AN274" s="146" t="str">
        <f t="shared" si="117"/>
        <v/>
      </c>
      <c r="AO274" s="149" t="str">
        <f t="shared" si="118"/>
        <v/>
      </c>
      <c r="AP274" s="150" t="str">
        <f t="shared" si="119"/>
        <v/>
      </c>
      <c r="AQ274" s="146" t="str">
        <f>IFERROR(_xlfn.IFNA(IF($BA274="No",0,IF(INDEX(Constants!B:B,MATCH(($I274/12),Constants!$A:$A,0))=0,0,INDEX(Constants!B:B,MATCH(($I274/12),Constants!$A:$A,0)))),0),"")</f>
        <v/>
      </c>
      <c r="AR274" s="146" t="str">
        <f>IFERROR(_xlfn.IFNA(IF($BA274="No",0,IF(INDEX(Constants!C:C,MATCH(($I274/12),Constants!$A:$A,0))=0,0,INDEX(Constants!C:C,MATCH(($I274/12),Constants!$A:$A,0)))),0),"")</f>
        <v/>
      </c>
      <c r="AS274" s="146" t="str">
        <f>IFERROR(_xlfn.IFNA(IF($BA274="No",0,IF(INDEX(Constants!D:D,MATCH(($I274/12),Constants!$A:$A,0))=0,0,INDEX(Constants!D:D,MATCH(($I274/12),Constants!$A:$A,0)))),0),"")</f>
        <v/>
      </c>
      <c r="AT274" s="146" t="str">
        <f>IFERROR(_xlfn.IFNA(IF($BA274="No",0,IF(INDEX(Constants!E:E,MATCH(($I274/12),Constants!$A:$A,0))=0,0,INDEX(Constants!E:E,MATCH(($I274/12),Constants!$A:$A,0)))),0),"")</f>
        <v/>
      </c>
      <c r="AU274" s="146" t="str">
        <f>IFERROR(_xlfn.IFNA(IF($BA274="No",0,IF(INDEX(Constants!F:F,MATCH(($I274/12),Constants!$A:$A,0))=0,0,INDEX(Constants!F:F,MATCH(($I274/12),Constants!$A:$A,0)))),0),"")</f>
        <v/>
      </c>
      <c r="AV274" s="146" t="str">
        <f>IFERROR(_xlfn.IFNA(IF($BA274="No",0,IF(INDEX(Constants!G:G,MATCH(($I274/12),Constants!$A:$A,0))=0,0,INDEX(Constants!G:G,MATCH(($I274/12),Constants!$A:$A,0)))),0),"")</f>
        <v/>
      </c>
      <c r="AW274" s="146" t="str">
        <f>IFERROR(_xlfn.IFNA(IF($BA274="No",0,IF(INDEX(Constants!H:H,MATCH(($I274/12),Constants!$A:$A,0))=0,0,INDEX(Constants!H:H,MATCH(($I274/12),Constants!$A:$A,0)))),0),"")</f>
        <v/>
      </c>
      <c r="AX274" s="146" t="str">
        <f>IFERROR(_xlfn.IFNA(IF($BA274="No",0,IF(INDEX(Constants!I:I,MATCH(($I274/12),Constants!$A:$A,0))=0,0,INDEX(Constants!I:I,MATCH(($I274/12),Constants!$A:$A,0)))),0),"")</f>
        <v/>
      </c>
      <c r="AY274" s="146" t="str">
        <f>IFERROR(_xlfn.IFNA(IF($BA274="No",0,IF(INDEX(Constants!J:J,MATCH(($I274/12),Constants!$A:$A,0))=0,0,INDEX(Constants!J:J,MATCH(($I274/12),Constants!$A:$A,0)))),0),"")</f>
        <v/>
      </c>
      <c r="AZ274" s="146" t="str">
        <f>IFERROR(_xlfn.IFNA(IF($BA274="No",0,IF(INDEX(Constants!K:K,MATCH(($I274/12),Constants!$A:$A,0))=0,0,INDEX(Constants!K:K,MATCH(($I274/12),Constants!$A:$A,0)))),0),"")</f>
        <v/>
      </c>
      <c r="BA274" s="147" t="str">
        <f>_xlfn.IFNA(INDEX(Producer!$L:$L,MATCH($D274,Producer!$A:$A,0)),"")</f>
        <v/>
      </c>
      <c r="BB274" s="146" t="str">
        <f>IFERROR(IF(AQ274=0,"",IF(($I274/12)=15,_xlfn.CONCAT(Constants!$N$7,TEXT(DATE(YEAR(H274)-(($I274/12)-3),MONTH(H274),DAY(H274)),"dd/mm/yyyy"),", ",Constants!$P$7,TEXT(DATE(YEAR(H274)-(($I274/12)-8),MONTH(H274),DAY(H274)),"dd/mm/yyyy"),", ",Constants!$T$7,TEXT(DATE(YEAR(H274)-(($I274/12)-11),MONTH(H274),DAY(H274)),"dd/mm/yyyy"),", ",Constants!$V$7,TEXT(DATE(YEAR(H274)-(($I274/12)-13),MONTH(H274),DAY(H274)),"dd/mm/yyyy"),", ",Constants!$W$7,TEXT($H274,"dd/mm/yyyy")),IF(($I274/12)=10,_xlfn.CONCAT(Constants!$N$6,TEXT(DATE(YEAR(H274)-(($I274/12)-2),MONTH(H274),DAY(H274)),"dd/mm/yyyy"),", ",Constants!$P$6,TEXT(DATE(YEAR(H274)-(($I274/12)-6),MONTH(H274),DAY(H274)),"dd/mm/yyyy"),", ",Constants!$T$6,TEXT(DATE(YEAR(H274)-(($I274/12)-8),MONTH(H274),DAY(H274)),"dd/mm/yyyy"),", ",Constants!$V$6,TEXT(DATE(YEAR(H274)-(($I274/12)-9),MONTH(H274),DAY(H274)),"dd/mm/yyyy"),", ",Constants!$W$6,TEXT($H274,"dd/mm/yyyy")),IF(($I274/12)=5,_xlfn.CONCAT(Constants!$N$5,TEXT(DATE(YEAR(H274)-(($I274/12)-1),MONTH(H274),DAY(H274)),"dd/mm/yyyy"),", ",Constants!$O$5,TEXT(DATE(YEAR(H274)-(($I274/12)-2),MONTH(H274),DAY(H274)),"dd/mm/yyyy"),", ",Constants!$P$5,TEXT(DATE(YEAR(H274)-(($I274/12)-3),MONTH(H274),DAY(H274)),"dd/mm/yyyy"),", ",Constants!$Q$5,TEXT(DATE(YEAR(H274)-(($I274/12)-4),MONTH(H274),DAY(H274)),"dd/mm/yyyy"),", ",Constants!$R$5,TEXT($H274,"dd/mm/yyyy")),IF(($I274/12)=3,_xlfn.CONCAT(Constants!$N$4,TEXT(DATE(YEAR(H274)-(($I274/12)-1),MONTH(H274),DAY(H274)),"dd/mm/yyyy"),", ",Constants!$O$4,TEXT(DATE(YEAR(H274)-(($I274/12)-2),MONTH(H274),DAY(H274)),"dd/mm/yyyy"),", ",Constants!$P$4,TEXT($H274,"dd/mm/yyyy")),IF(($I274/12)=2,_xlfn.CONCAT(Constants!$N$3,TEXT(DATE(YEAR(H274)-(($I274/12)-1),MONTH(H274),DAY(H274)),"dd/mm/yyyy"),", ",Constants!$O$3,TEXT($H274,"dd/mm/yyyy")),IF(($I274/12)=1,_xlfn.CONCAT(Constants!$N$2,TEXT($H274,"dd/mm/yyyy")),"Update Constants"))))))),"")</f>
        <v/>
      </c>
      <c r="BC274" s="147" t="str">
        <f>_xlfn.IFNA(VALUE(INDEX(Producer!$K:$K,MATCH($D274,Producer!$A:$A,0))),"")</f>
        <v/>
      </c>
      <c r="BD274" s="147" t="str">
        <f>_xlfn.IFNA(INDEX(Producer!$I:$I,MATCH($D274,Producer!$A:$A,0)),"")</f>
        <v/>
      </c>
      <c r="BE274" s="147" t="str">
        <f t="shared" si="120"/>
        <v/>
      </c>
      <c r="BF274" s="147"/>
      <c r="BG274" s="147"/>
      <c r="BH274" s="151" t="str">
        <f>_xlfn.IFNA(INDEX(Constants!$B:$B,MATCH(BC274,Constants!A:A,0)),"")</f>
        <v/>
      </c>
      <c r="BI274" s="147" t="str">
        <f>IF(LEFT(B274,15)="Limited Company",Constants!$D$16,IFERROR(_xlfn.IFNA(IF(C274="Residential",IF(BK274&lt;75,INDEX(Constants!$B:$B,MATCH(VALUE(60)/100,Constants!$A:$A,0)),INDEX(Constants!$B:$B,MATCH(VALUE(BK274)/100,Constants!$A:$A,0))),IF(BK274&lt;60,INDEX(Constants!$C:$C,MATCH(VALUE(60)/100,Constants!$A:$A,0)),INDEX(Constants!$C:$C,MATCH(VALUE(BK274)/100,Constants!$A:$A,0)))),""),""))</f>
        <v/>
      </c>
      <c r="BJ274" s="147" t="str">
        <f t="shared" si="121"/>
        <v/>
      </c>
      <c r="BK274" s="147" t="str">
        <f>_xlfn.IFNA(VALUE(INDEX(Producer!$E:$E,MATCH($D274,Producer!$A:$A,0)))*100,"")</f>
        <v/>
      </c>
      <c r="BL274" s="146" t="str">
        <f>_xlfn.IFNA(IF(IFERROR(FIND("Part &amp; Part",B274),-10)&gt;0,"PP",IF(OR(LEFT(B274,25)="Residential Interest Only",INDEX(Producer!$P:$P,MATCH($D274,Producer!$A:$A,0))="IO",INDEX(Producer!$P:$P,MATCH($D274,Producer!$A:$A,0))="Retirement Interest Only"),"IO",IF($C274="BuyToLet","CI, IO","CI"))),"")</f>
        <v/>
      </c>
      <c r="BM274" s="152" t="str">
        <f>_xlfn.IFNA(IF(BL274="IO",100%,IF(AND(INDEX(Producer!$P:$P,MATCH($D274,Producer!$A:$A,0))="Residential Interest Only Part &amp; Part",BK274=75),80%,IF(C274="BuyToLet",100%,IF(BL274="Interest Only",100%,IF(AND(INDEX(Producer!$P:$P,MATCH($D274,Producer!$A:$A,0))="Residential Interest Only Part &amp; Part",BK274=60),100%,""))))),"")</f>
        <v/>
      </c>
      <c r="BN274" s="218" t="str">
        <f>_xlfn.IFNA(IF(VALUE(INDEX(Producer!$H:$H,MATCH($D274,Producer!$A:$A,0)))=0,"",VALUE(INDEX(Producer!$H:$H,MATCH($D274,Producer!$A:$A,0)))),"")</f>
        <v/>
      </c>
      <c r="BO274" s="153"/>
      <c r="BP274" s="153"/>
      <c r="BQ274" s="219" t="str">
        <f t="shared" si="122"/>
        <v/>
      </c>
      <c r="BR274" s="146"/>
      <c r="BS274" s="146"/>
      <c r="BT274" s="146"/>
      <c r="BU274" s="146"/>
      <c r="BV274" s="219" t="str">
        <f t="shared" si="123"/>
        <v/>
      </c>
      <c r="BW274" s="146"/>
      <c r="BX274" s="146"/>
      <c r="BY274" s="146" t="str">
        <f t="shared" si="124"/>
        <v/>
      </c>
      <c r="BZ274" s="146" t="str">
        <f t="shared" si="125"/>
        <v/>
      </c>
      <c r="CA274" s="146" t="str">
        <f t="shared" si="126"/>
        <v/>
      </c>
      <c r="CB274" s="146" t="str">
        <f t="shared" si="127"/>
        <v/>
      </c>
      <c r="CC274" s="146" t="str">
        <f>_xlfn.IFNA(IF(INDEX(Producer!$P:$P,MATCH($D274,Producer!$A:$A,0))="Help to Buy","Only available","No"),"")</f>
        <v/>
      </c>
      <c r="CD274" s="146" t="str">
        <f>_xlfn.IFNA(IF(INDEX(Producer!$P:$P,MATCH($D274,Producer!$A:$A,0))="Shared Ownership","Only available","No"),"")</f>
        <v/>
      </c>
      <c r="CE274" s="146" t="str">
        <f>_xlfn.IFNA(IF(INDEX(Producer!$P:$P,MATCH($D274,Producer!$A:$A,0))="Right to Buy","Only available","No"),"")</f>
        <v/>
      </c>
      <c r="CF274" s="146" t="str">
        <f t="shared" si="128"/>
        <v/>
      </c>
      <c r="CG274" s="146" t="str">
        <f>_xlfn.IFNA(IF(INDEX(Producer!$P:$P,MATCH($D274,Producer!$A:$A,0))="Retirement Interest Only","Only available","No"),"")</f>
        <v/>
      </c>
      <c r="CH274" s="146" t="str">
        <f t="shared" si="129"/>
        <v/>
      </c>
      <c r="CI274" s="146" t="str">
        <f>_xlfn.IFNA(IF(INDEX(Producer!$P:$P,MATCH($D274,Producer!$A:$A,0))="Intermediary Holiday Let","Only available","No"),"")</f>
        <v/>
      </c>
      <c r="CJ274" s="146" t="str">
        <f t="shared" si="130"/>
        <v/>
      </c>
      <c r="CK274" s="146" t="str">
        <f>_xlfn.IFNA(IF(OR(INDEX(Producer!$P:$P,MATCH($D274,Producer!$A:$A,0))="Intermediary Small HMO",INDEX(Producer!$P:$P,MATCH($D274,Producer!$A:$A,0))="Intermediary Large HMO"),"Only available","No"),"")</f>
        <v/>
      </c>
      <c r="CL274" s="146" t="str">
        <f t="shared" si="131"/>
        <v/>
      </c>
      <c r="CM274" s="146" t="str">
        <f t="shared" si="132"/>
        <v/>
      </c>
      <c r="CN274" s="146" t="str">
        <f t="shared" si="133"/>
        <v/>
      </c>
      <c r="CO274" s="146" t="str">
        <f t="shared" si="134"/>
        <v/>
      </c>
      <c r="CP274" s="146" t="str">
        <f t="shared" si="135"/>
        <v/>
      </c>
      <c r="CQ274" s="146" t="str">
        <f t="shared" si="136"/>
        <v/>
      </c>
      <c r="CR274" s="146" t="str">
        <f t="shared" si="137"/>
        <v/>
      </c>
      <c r="CS274" s="146" t="str">
        <f t="shared" si="138"/>
        <v/>
      </c>
      <c r="CT274" s="146" t="str">
        <f t="shared" si="139"/>
        <v/>
      </c>
      <c r="CU274" s="146"/>
    </row>
    <row r="275" spans="1:99" ht="16.399999999999999" customHeight="1" x14ac:dyDescent="0.35">
      <c r="A275" s="145" t="str">
        <f t="shared" si="112"/>
        <v/>
      </c>
      <c r="B275" s="145" t="str">
        <f>_xlfn.IFNA(_xlfn.CONCAT(INDEX(Producer!$P:$P,MATCH($D275,Producer!$A:$A,0))," ",IF(INDEX(Producer!$N:$N,MATCH($D275,Producer!$A:$A,0))="Yes","Green ",""),IF(AND(INDEX(Producer!$L:$L,MATCH($D275,Producer!$A:$A,0))="No",INDEX(Producer!$C:$C,MATCH($D275,Producer!$A:$A,0))="Fixed"),"Flexit ",""),INDEX(Producer!$B:$B,MATCH($D275,Producer!$A:$A,0))," Year ",INDEX(Producer!$C:$C,MATCH($D275,Producer!$A:$A,0))," ",VALUE(INDEX(Producer!$E:$E,MATCH($D275,Producer!$A:$A,0)))*100,"% LTV",IF(INDEX(Producer!$N:$N,MATCH($D275,Producer!$A:$A,0))="Yes"," (EPC A-C)","")," - ",IF(INDEX(Producer!$D:$D,MATCH($D275,Producer!$A:$A,0))="DLY","Daily","Annual")),"")</f>
        <v/>
      </c>
      <c r="C275" s="146" t="str">
        <f>_xlfn.IFNA(INDEX(Producer!$Q:$Q,MATCH($D275,Producer!$A:$A,0)),"")</f>
        <v/>
      </c>
      <c r="D275" s="146" t="str">
        <f>IFERROR(VALUE(MID(Producer!$R$2,IF($D274="",1/0,FIND(_xlfn.CONCAT($D273,$D274),Producer!$R$2)+10),5)),"")</f>
        <v/>
      </c>
      <c r="E275" s="146" t="str">
        <f t="shared" si="113"/>
        <v/>
      </c>
      <c r="F275" s="146"/>
      <c r="G275" s="147" t="str">
        <f>_xlfn.IFNA(VALUE(INDEX(Producer!$F:$F,MATCH($D275,Producer!$A:$A,0)))*100,"")</f>
        <v/>
      </c>
      <c r="H275" s="216" t="str">
        <f>_xlfn.IFNA(IFERROR(DATEVALUE(INDEX(Producer!$M:$M,MATCH($D275,Producer!$A:$A,0))),(INDEX(Producer!$M:$M,MATCH($D275,Producer!$A:$A,0)))),"")</f>
        <v/>
      </c>
      <c r="I275" s="217" t="str">
        <f>_xlfn.IFNA(VALUE(INDEX(Producer!$B:$B,MATCH($D275,Producer!$A:$A,0)))*12,"")</f>
        <v/>
      </c>
      <c r="J275" s="146" t="str">
        <f>_xlfn.IFNA(IF(C275="Residential",IF(VALUE(INDEX(Producer!$B:$B,MATCH($D275,Producer!$A:$A,0)))&lt;5,Constants!$C$10,""),IF(VALUE(INDEX(Producer!$B:$B,MATCH($D275,Producer!$A:$A,0)))&lt;5,Constants!$C$11,"")),"")</f>
        <v/>
      </c>
      <c r="K275" s="216" t="str">
        <f>_xlfn.IFNA(IF(($I275)&lt;60,DATE(YEAR(H275)+(5-VALUE(INDEX(Producer!$B:$B,MATCH($D275,Producer!$A:$A,0)))),MONTH(H275),DAY(H275)),""),"")</f>
        <v/>
      </c>
      <c r="L275" s="153" t="str">
        <f t="shared" si="114"/>
        <v/>
      </c>
      <c r="M275" s="146"/>
      <c r="N275" s="148"/>
      <c r="O275" s="148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  <c r="AA275" s="146"/>
      <c r="AB275" s="146"/>
      <c r="AC275" s="146"/>
      <c r="AD275" s="146"/>
      <c r="AE275" s="146"/>
      <c r="AF275" s="146"/>
      <c r="AG275" s="146"/>
      <c r="AH275" s="146"/>
      <c r="AI275" s="146"/>
      <c r="AJ275" s="146"/>
      <c r="AK275" s="146" t="str">
        <f>IF(D275="","",IF(C275="Residential",Constants!$B$10,Constants!$B$11))</f>
        <v/>
      </c>
      <c r="AL275" s="146" t="str">
        <f t="shared" si="115"/>
        <v/>
      </c>
      <c r="AM275" s="206" t="str">
        <f t="shared" si="116"/>
        <v/>
      </c>
      <c r="AN275" s="146" t="str">
        <f t="shared" si="117"/>
        <v/>
      </c>
      <c r="AO275" s="149" t="str">
        <f t="shared" si="118"/>
        <v/>
      </c>
      <c r="AP275" s="150" t="str">
        <f t="shared" si="119"/>
        <v/>
      </c>
      <c r="AQ275" s="146" t="str">
        <f>IFERROR(_xlfn.IFNA(IF($BA275="No",0,IF(INDEX(Constants!B:B,MATCH(($I275/12),Constants!$A:$A,0))=0,0,INDEX(Constants!B:B,MATCH(($I275/12),Constants!$A:$A,0)))),0),"")</f>
        <v/>
      </c>
      <c r="AR275" s="146" t="str">
        <f>IFERROR(_xlfn.IFNA(IF($BA275="No",0,IF(INDEX(Constants!C:C,MATCH(($I275/12),Constants!$A:$A,0))=0,0,INDEX(Constants!C:C,MATCH(($I275/12),Constants!$A:$A,0)))),0),"")</f>
        <v/>
      </c>
      <c r="AS275" s="146" t="str">
        <f>IFERROR(_xlfn.IFNA(IF($BA275="No",0,IF(INDEX(Constants!D:D,MATCH(($I275/12),Constants!$A:$A,0))=0,0,INDEX(Constants!D:D,MATCH(($I275/12),Constants!$A:$A,0)))),0),"")</f>
        <v/>
      </c>
      <c r="AT275" s="146" t="str">
        <f>IFERROR(_xlfn.IFNA(IF($BA275="No",0,IF(INDEX(Constants!E:E,MATCH(($I275/12),Constants!$A:$A,0))=0,0,INDEX(Constants!E:E,MATCH(($I275/12),Constants!$A:$A,0)))),0),"")</f>
        <v/>
      </c>
      <c r="AU275" s="146" t="str">
        <f>IFERROR(_xlfn.IFNA(IF($BA275="No",0,IF(INDEX(Constants!F:F,MATCH(($I275/12),Constants!$A:$A,0))=0,0,INDEX(Constants!F:F,MATCH(($I275/12),Constants!$A:$A,0)))),0),"")</f>
        <v/>
      </c>
      <c r="AV275" s="146" t="str">
        <f>IFERROR(_xlfn.IFNA(IF($BA275="No",0,IF(INDEX(Constants!G:G,MATCH(($I275/12),Constants!$A:$A,0))=0,0,INDEX(Constants!G:G,MATCH(($I275/12),Constants!$A:$A,0)))),0),"")</f>
        <v/>
      </c>
      <c r="AW275" s="146" t="str">
        <f>IFERROR(_xlfn.IFNA(IF($BA275="No",0,IF(INDEX(Constants!H:H,MATCH(($I275/12),Constants!$A:$A,0))=0,0,INDEX(Constants!H:H,MATCH(($I275/12),Constants!$A:$A,0)))),0),"")</f>
        <v/>
      </c>
      <c r="AX275" s="146" t="str">
        <f>IFERROR(_xlfn.IFNA(IF($BA275="No",0,IF(INDEX(Constants!I:I,MATCH(($I275/12),Constants!$A:$A,0))=0,0,INDEX(Constants!I:I,MATCH(($I275/12),Constants!$A:$A,0)))),0),"")</f>
        <v/>
      </c>
      <c r="AY275" s="146" t="str">
        <f>IFERROR(_xlfn.IFNA(IF($BA275="No",0,IF(INDEX(Constants!J:J,MATCH(($I275/12),Constants!$A:$A,0))=0,0,INDEX(Constants!J:J,MATCH(($I275/12),Constants!$A:$A,0)))),0),"")</f>
        <v/>
      </c>
      <c r="AZ275" s="146" t="str">
        <f>IFERROR(_xlfn.IFNA(IF($BA275="No",0,IF(INDEX(Constants!K:K,MATCH(($I275/12),Constants!$A:$A,0))=0,0,INDEX(Constants!K:K,MATCH(($I275/12),Constants!$A:$A,0)))),0),"")</f>
        <v/>
      </c>
      <c r="BA275" s="147" t="str">
        <f>_xlfn.IFNA(INDEX(Producer!$L:$L,MATCH($D275,Producer!$A:$A,0)),"")</f>
        <v/>
      </c>
      <c r="BB275" s="146" t="str">
        <f>IFERROR(IF(AQ275=0,"",IF(($I275/12)=15,_xlfn.CONCAT(Constants!$N$7,TEXT(DATE(YEAR(H275)-(($I275/12)-3),MONTH(H275),DAY(H275)),"dd/mm/yyyy"),", ",Constants!$P$7,TEXT(DATE(YEAR(H275)-(($I275/12)-8),MONTH(H275),DAY(H275)),"dd/mm/yyyy"),", ",Constants!$T$7,TEXT(DATE(YEAR(H275)-(($I275/12)-11),MONTH(H275),DAY(H275)),"dd/mm/yyyy"),", ",Constants!$V$7,TEXT(DATE(YEAR(H275)-(($I275/12)-13),MONTH(H275),DAY(H275)),"dd/mm/yyyy"),", ",Constants!$W$7,TEXT($H275,"dd/mm/yyyy")),IF(($I275/12)=10,_xlfn.CONCAT(Constants!$N$6,TEXT(DATE(YEAR(H275)-(($I275/12)-2),MONTH(H275),DAY(H275)),"dd/mm/yyyy"),", ",Constants!$P$6,TEXT(DATE(YEAR(H275)-(($I275/12)-6),MONTH(H275),DAY(H275)),"dd/mm/yyyy"),", ",Constants!$T$6,TEXT(DATE(YEAR(H275)-(($I275/12)-8),MONTH(H275),DAY(H275)),"dd/mm/yyyy"),", ",Constants!$V$6,TEXT(DATE(YEAR(H275)-(($I275/12)-9),MONTH(H275),DAY(H275)),"dd/mm/yyyy"),", ",Constants!$W$6,TEXT($H275,"dd/mm/yyyy")),IF(($I275/12)=5,_xlfn.CONCAT(Constants!$N$5,TEXT(DATE(YEAR(H275)-(($I275/12)-1),MONTH(H275),DAY(H275)),"dd/mm/yyyy"),", ",Constants!$O$5,TEXT(DATE(YEAR(H275)-(($I275/12)-2),MONTH(H275),DAY(H275)),"dd/mm/yyyy"),", ",Constants!$P$5,TEXT(DATE(YEAR(H275)-(($I275/12)-3),MONTH(H275),DAY(H275)),"dd/mm/yyyy"),", ",Constants!$Q$5,TEXT(DATE(YEAR(H275)-(($I275/12)-4),MONTH(H275),DAY(H275)),"dd/mm/yyyy"),", ",Constants!$R$5,TEXT($H275,"dd/mm/yyyy")),IF(($I275/12)=3,_xlfn.CONCAT(Constants!$N$4,TEXT(DATE(YEAR(H275)-(($I275/12)-1),MONTH(H275),DAY(H275)),"dd/mm/yyyy"),", ",Constants!$O$4,TEXT(DATE(YEAR(H275)-(($I275/12)-2),MONTH(H275),DAY(H275)),"dd/mm/yyyy"),", ",Constants!$P$4,TEXT($H275,"dd/mm/yyyy")),IF(($I275/12)=2,_xlfn.CONCAT(Constants!$N$3,TEXT(DATE(YEAR(H275)-(($I275/12)-1),MONTH(H275),DAY(H275)),"dd/mm/yyyy"),", ",Constants!$O$3,TEXT($H275,"dd/mm/yyyy")),IF(($I275/12)=1,_xlfn.CONCAT(Constants!$N$2,TEXT($H275,"dd/mm/yyyy")),"Update Constants"))))))),"")</f>
        <v/>
      </c>
      <c r="BC275" s="147" t="str">
        <f>_xlfn.IFNA(VALUE(INDEX(Producer!$K:$K,MATCH($D275,Producer!$A:$A,0))),"")</f>
        <v/>
      </c>
      <c r="BD275" s="147" t="str">
        <f>_xlfn.IFNA(INDEX(Producer!$I:$I,MATCH($D275,Producer!$A:$A,0)),"")</f>
        <v/>
      </c>
      <c r="BE275" s="147" t="str">
        <f t="shared" si="120"/>
        <v/>
      </c>
      <c r="BF275" s="147"/>
      <c r="BG275" s="147"/>
      <c r="BH275" s="151" t="str">
        <f>_xlfn.IFNA(INDEX(Constants!$B:$B,MATCH(BC275,Constants!A:A,0)),"")</f>
        <v/>
      </c>
      <c r="BI275" s="147" t="str">
        <f>IF(LEFT(B275,15)="Limited Company",Constants!$D$16,IFERROR(_xlfn.IFNA(IF(C275="Residential",IF(BK275&lt;75,INDEX(Constants!$B:$B,MATCH(VALUE(60)/100,Constants!$A:$A,0)),INDEX(Constants!$B:$B,MATCH(VALUE(BK275)/100,Constants!$A:$A,0))),IF(BK275&lt;60,INDEX(Constants!$C:$C,MATCH(VALUE(60)/100,Constants!$A:$A,0)),INDEX(Constants!$C:$C,MATCH(VALUE(BK275)/100,Constants!$A:$A,0)))),""),""))</f>
        <v/>
      </c>
      <c r="BJ275" s="147" t="str">
        <f t="shared" si="121"/>
        <v/>
      </c>
      <c r="BK275" s="147" t="str">
        <f>_xlfn.IFNA(VALUE(INDEX(Producer!$E:$E,MATCH($D275,Producer!$A:$A,0)))*100,"")</f>
        <v/>
      </c>
      <c r="BL275" s="146" t="str">
        <f>_xlfn.IFNA(IF(IFERROR(FIND("Part &amp; Part",B275),-10)&gt;0,"PP",IF(OR(LEFT(B275,25)="Residential Interest Only",INDEX(Producer!$P:$P,MATCH($D275,Producer!$A:$A,0))="IO",INDEX(Producer!$P:$P,MATCH($D275,Producer!$A:$A,0))="Retirement Interest Only"),"IO",IF($C275="BuyToLet","CI, IO","CI"))),"")</f>
        <v/>
      </c>
      <c r="BM275" s="152" t="str">
        <f>_xlfn.IFNA(IF(BL275="IO",100%,IF(AND(INDEX(Producer!$P:$P,MATCH($D275,Producer!$A:$A,0))="Residential Interest Only Part &amp; Part",BK275=75),80%,IF(C275="BuyToLet",100%,IF(BL275="Interest Only",100%,IF(AND(INDEX(Producer!$P:$P,MATCH($D275,Producer!$A:$A,0))="Residential Interest Only Part &amp; Part",BK275=60),100%,""))))),"")</f>
        <v/>
      </c>
      <c r="BN275" s="218" t="str">
        <f>_xlfn.IFNA(IF(VALUE(INDEX(Producer!$H:$H,MATCH($D275,Producer!$A:$A,0)))=0,"",VALUE(INDEX(Producer!$H:$H,MATCH($D275,Producer!$A:$A,0)))),"")</f>
        <v/>
      </c>
      <c r="BO275" s="153"/>
      <c r="BP275" s="153"/>
      <c r="BQ275" s="219" t="str">
        <f t="shared" si="122"/>
        <v/>
      </c>
      <c r="BR275" s="146"/>
      <c r="BS275" s="146"/>
      <c r="BT275" s="146"/>
      <c r="BU275" s="146"/>
      <c r="BV275" s="219" t="str">
        <f t="shared" si="123"/>
        <v/>
      </c>
      <c r="BW275" s="146"/>
      <c r="BX275" s="146"/>
      <c r="BY275" s="146" t="str">
        <f t="shared" si="124"/>
        <v/>
      </c>
      <c r="BZ275" s="146" t="str">
        <f t="shared" si="125"/>
        <v/>
      </c>
      <c r="CA275" s="146" t="str">
        <f t="shared" si="126"/>
        <v/>
      </c>
      <c r="CB275" s="146" t="str">
        <f t="shared" si="127"/>
        <v/>
      </c>
      <c r="CC275" s="146" t="str">
        <f>_xlfn.IFNA(IF(INDEX(Producer!$P:$P,MATCH($D275,Producer!$A:$A,0))="Help to Buy","Only available","No"),"")</f>
        <v/>
      </c>
      <c r="CD275" s="146" t="str">
        <f>_xlfn.IFNA(IF(INDEX(Producer!$P:$P,MATCH($D275,Producer!$A:$A,0))="Shared Ownership","Only available","No"),"")</f>
        <v/>
      </c>
      <c r="CE275" s="146" t="str">
        <f>_xlfn.IFNA(IF(INDEX(Producer!$P:$P,MATCH($D275,Producer!$A:$A,0))="Right to Buy","Only available","No"),"")</f>
        <v/>
      </c>
      <c r="CF275" s="146" t="str">
        <f t="shared" si="128"/>
        <v/>
      </c>
      <c r="CG275" s="146" t="str">
        <f>_xlfn.IFNA(IF(INDEX(Producer!$P:$P,MATCH($D275,Producer!$A:$A,0))="Retirement Interest Only","Only available","No"),"")</f>
        <v/>
      </c>
      <c r="CH275" s="146" t="str">
        <f t="shared" si="129"/>
        <v/>
      </c>
      <c r="CI275" s="146" t="str">
        <f>_xlfn.IFNA(IF(INDEX(Producer!$P:$P,MATCH($D275,Producer!$A:$A,0))="Intermediary Holiday Let","Only available","No"),"")</f>
        <v/>
      </c>
      <c r="CJ275" s="146" t="str">
        <f t="shared" si="130"/>
        <v/>
      </c>
      <c r="CK275" s="146" t="str">
        <f>_xlfn.IFNA(IF(OR(INDEX(Producer!$P:$P,MATCH($D275,Producer!$A:$A,0))="Intermediary Small HMO",INDEX(Producer!$P:$P,MATCH($D275,Producer!$A:$A,0))="Intermediary Large HMO"),"Only available","No"),"")</f>
        <v/>
      </c>
      <c r="CL275" s="146" t="str">
        <f t="shared" si="131"/>
        <v/>
      </c>
      <c r="CM275" s="146" t="str">
        <f t="shared" si="132"/>
        <v/>
      </c>
      <c r="CN275" s="146" t="str">
        <f t="shared" si="133"/>
        <v/>
      </c>
      <c r="CO275" s="146" t="str">
        <f t="shared" si="134"/>
        <v/>
      </c>
      <c r="CP275" s="146" t="str">
        <f t="shared" si="135"/>
        <v/>
      </c>
      <c r="CQ275" s="146" t="str">
        <f t="shared" si="136"/>
        <v/>
      </c>
      <c r="CR275" s="146" t="str">
        <f t="shared" si="137"/>
        <v/>
      </c>
      <c r="CS275" s="146" t="str">
        <f t="shared" si="138"/>
        <v/>
      </c>
      <c r="CT275" s="146" t="str">
        <f t="shared" si="139"/>
        <v/>
      </c>
      <c r="CU275" s="146"/>
    </row>
    <row r="276" spans="1:99" ht="16.399999999999999" customHeight="1" x14ac:dyDescent="0.35">
      <c r="A276" s="145" t="str">
        <f t="shared" si="112"/>
        <v/>
      </c>
      <c r="B276" s="145" t="str">
        <f>_xlfn.IFNA(_xlfn.CONCAT(INDEX(Producer!$P:$P,MATCH($D276,Producer!$A:$A,0))," ",IF(INDEX(Producer!$N:$N,MATCH($D276,Producer!$A:$A,0))="Yes","Green ",""),IF(AND(INDEX(Producer!$L:$L,MATCH($D276,Producer!$A:$A,0))="No",INDEX(Producer!$C:$C,MATCH($D276,Producer!$A:$A,0))="Fixed"),"Flexit ",""),INDEX(Producer!$B:$B,MATCH($D276,Producer!$A:$A,0))," Year ",INDEX(Producer!$C:$C,MATCH($D276,Producer!$A:$A,0))," ",VALUE(INDEX(Producer!$E:$E,MATCH($D276,Producer!$A:$A,0)))*100,"% LTV",IF(INDEX(Producer!$N:$N,MATCH($D276,Producer!$A:$A,0))="Yes"," (EPC A-C)","")," - ",IF(INDEX(Producer!$D:$D,MATCH($D276,Producer!$A:$A,0))="DLY","Daily","Annual")),"")</f>
        <v/>
      </c>
      <c r="C276" s="146" t="str">
        <f>_xlfn.IFNA(INDEX(Producer!$Q:$Q,MATCH($D276,Producer!$A:$A,0)),"")</f>
        <v/>
      </c>
      <c r="D276" s="146" t="str">
        <f>IFERROR(VALUE(MID(Producer!$R$2,IF($D275="",1/0,FIND(_xlfn.CONCAT($D274,$D275),Producer!$R$2)+10),5)),"")</f>
        <v/>
      </c>
      <c r="E276" s="146" t="str">
        <f t="shared" si="113"/>
        <v/>
      </c>
      <c r="F276" s="146"/>
      <c r="G276" s="147" t="str">
        <f>_xlfn.IFNA(VALUE(INDEX(Producer!$F:$F,MATCH($D276,Producer!$A:$A,0)))*100,"")</f>
        <v/>
      </c>
      <c r="H276" s="216" t="str">
        <f>_xlfn.IFNA(IFERROR(DATEVALUE(INDEX(Producer!$M:$M,MATCH($D276,Producer!$A:$A,0))),(INDEX(Producer!$M:$M,MATCH($D276,Producer!$A:$A,0)))),"")</f>
        <v/>
      </c>
      <c r="I276" s="217" t="str">
        <f>_xlfn.IFNA(VALUE(INDEX(Producer!$B:$B,MATCH($D276,Producer!$A:$A,0)))*12,"")</f>
        <v/>
      </c>
      <c r="J276" s="146" t="str">
        <f>_xlfn.IFNA(IF(C276="Residential",IF(VALUE(INDEX(Producer!$B:$B,MATCH($D276,Producer!$A:$A,0)))&lt;5,Constants!$C$10,""),IF(VALUE(INDEX(Producer!$B:$B,MATCH($D276,Producer!$A:$A,0)))&lt;5,Constants!$C$11,"")),"")</f>
        <v/>
      </c>
      <c r="K276" s="216" t="str">
        <f>_xlfn.IFNA(IF(($I276)&lt;60,DATE(YEAR(H276)+(5-VALUE(INDEX(Producer!$B:$B,MATCH($D276,Producer!$A:$A,0)))),MONTH(H276),DAY(H276)),""),"")</f>
        <v/>
      </c>
      <c r="L276" s="153" t="str">
        <f t="shared" si="114"/>
        <v/>
      </c>
      <c r="M276" s="146"/>
      <c r="N276" s="148"/>
      <c r="O276" s="148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  <c r="AD276" s="146"/>
      <c r="AE276" s="146"/>
      <c r="AF276" s="146"/>
      <c r="AG276" s="146"/>
      <c r="AH276" s="146"/>
      <c r="AI276" s="146"/>
      <c r="AJ276" s="146"/>
      <c r="AK276" s="146" t="str">
        <f>IF(D276="","",IF(C276="Residential",Constants!$B$10,Constants!$B$11))</f>
        <v/>
      </c>
      <c r="AL276" s="146" t="str">
        <f t="shared" si="115"/>
        <v/>
      </c>
      <c r="AM276" s="206" t="str">
        <f t="shared" si="116"/>
        <v/>
      </c>
      <c r="AN276" s="146" t="str">
        <f t="shared" si="117"/>
        <v/>
      </c>
      <c r="AO276" s="149" t="str">
        <f t="shared" si="118"/>
        <v/>
      </c>
      <c r="AP276" s="150" t="str">
        <f t="shared" si="119"/>
        <v/>
      </c>
      <c r="AQ276" s="146" t="str">
        <f>IFERROR(_xlfn.IFNA(IF($BA276="No",0,IF(INDEX(Constants!B:B,MATCH(($I276/12),Constants!$A:$A,0))=0,0,INDEX(Constants!B:B,MATCH(($I276/12),Constants!$A:$A,0)))),0),"")</f>
        <v/>
      </c>
      <c r="AR276" s="146" t="str">
        <f>IFERROR(_xlfn.IFNA(IF($BA276="No",0,IF(INDEX(Constants!C:C,MATCH(($I276/12),Constants!$A:$A,0))=0,0,INDEX(Constants!C:C,MATCH(($I276/12),Constants!$A:$A,0)))),0),"")</f>
        <v/>
      </c>
      <c r="AS276" s="146" t="str">
        <f>IFERROR(_xlfn.IFNA(IF($BA276="No",0,IF(INDEX(Constants!D:D,MATCH(($I276/12),Constants!$A:$A,0))=0,0,INDEX(Constants!D:D,MATCH(($I276/12),Constants!$A:$A,0)))),0),"")</f>
        <v/>
      </c>
      <c r="AT276" s="146" t="str">
        <f>IFERROR(_xlfn.IFNA(IF($BA276="No",0,IF(INDEX(Constants!E:E,MATCH(($I276/12),Constants!$A:$A,0))=0,0,INDEX(Constants!E:E,MATCH(($I276/12),Constants!$A:$A,0)))),0),"")</f>
        <v/>
      </c>
      <c r="AU276" s="146" t="str">
        <f>IFERROR(_xlfn.IFNA(IF($BA276="No",0,IF(INDEX(Constants!F:F,MATCH(($I276/12),Constants!$A:$A,0))=0,0,INDEX(Constants!F:F,MATCH(($I276/12),Constants!$A:$A,0)))),0),"")</f>
        <v/>
      </c>
      <c r="AV276" s="146" t="str">
        <f>IFERROR(_xlfn.IFNA(IF($BA276="No",0,IF(INDEX(Constants!G:G,MATCH(($I276/12),Constants!$A:$A,0))=0,0,INDEX(Constants!G:G,MATCH(($I276/12),Constants!$A:$A,0)))),0),"")</f>
        <v/>
      </c>
      <c r="AW276" s="146" t="str">
        <f>IFERROR(_xlfn.IFNA(IF($BA276="No",0,IF(INDEX(Constants!H:H,MATCH(($I276/12),Constants!$A:$A,0))=0,0,INDEX(Constants!H:H,MATCH(($I276/12),Constants!$A:$A,0)))),0),"")</f>
        <v/>
      </c>
      <c r="AX276" s="146" t="str">
        <f>IFERROR(_xlfn.IFNA(IF($BA276="No",0,IF(INDEX(Constants!I:I,MATCH(($I276/12),Constants!$A:$A,0))=0,0,INDEX(Constants!I:I,MATCH(($I276/12),Constants!$A:$A,0)))),0),"")</f>
        <v/>
      </c>
      <c r="AY276" s="146" t="str">
        <f>IFERROR(_xlfn.IFNA(IF($BA276="No",0,IF(INDEX(Constants!J:J,MATCH(($I276/12),Constants!$A:$A,0))=0,0,INDEX(Constants!J:J,MATCH(($I276/12),Constants!$A:$A,0)))),0),"")</f>
        <v/>
      </c>
      <c r="AZ276" s="146" t="str">
        <f>IFERROR(_xlfn.IFNA(IF($BA276="No",0,IF(INDEX(Constants!K:K,MATCH(($I276/12),Constants!$A:$A,0))=0,0,INDEX(Constants!K:K,MATCH(($I276/12),Constants!$A:$A,0)))),0),"")</f>
        <v/>
      </c>
      <c r="BA276" s="147" t="str">
        <f>_xlfn.IFNA(INDEX(Producer!$L:$L,MATCH($D276,Producer!$A:$A,0)),"")</f>
        <v/>
      </c>
      <c r="BB276" s="146" t="str">
        <f>IFERROR(IF(AQ276=0,"",IF(($I276/12)=15,_xlfn.CONCAT(Constants!$N$7,TEXT(DATE(YEAR(H276)-(($I276/12)-3),MONTH(H276),DAY(H276)),"dd/mm/yyyy"),", ",Constants!$P$7,TEXT(DATE(YEAR(H276)-(($I276/12)-8),MONTH(H276),DAY(H276)),"dd/mm/yyyy"),", ",Constants!$T$7,TEXT(DATE(YEAR(H276)-(($I276/12)-11),MONTH(H276),DAY(H276)),"dd/mm/yyyy"),", ",Constants!$V$7,TEXT(DATE(YEAR(H276)-(($I276/12)-13),MONTH(H276),DAY(H276)),"dd/mm/yyyy"),", ",Constants!$W$7,TEXT($H276,"dd/mm/yyyy")),IF(($I276/12)=10,_xlfn.CONCAT(Constants!$N$6,TEXT(DATE(YEAR(H276)-(($I276/12)-2),MONTH(H276),DAY(H276)),"dd/mm/yyyy"),", ",Constants!$P$6,TEXT(DATE(YEAR(H276)-(($I276/12)-6),MONTH(H276),DAY(H276)),"dd/mm/yyyy"),", ",Constants!$T$6,TEXT(DATE(YEAR(H276)-(($I276/12)-8),MONTH(H276),DAY(H276)),"dd/mm/yyyy"),", ",Constants!$V$6,TEXT(DATE(YEAR(H276)-(($I276/12)-9),MONTH(H276),DAY(H276)),"dd/mm/yyyy"),", ",Constants!$W$6,TEXT($H276,"dd/mm/yyyy")),IF(($I276/12)=5,_xlfn.CONCAT(Constants!$N$5,TEXT(DATE(YEAR(H276)-(($I276/12)-1),MONTH(H276),DAY(H276)),"dd/mm/yyyy"),", ",Constants!$O$5,TEXT(DATE(YEAR(H276)-(($I276/12)-2),MONTH(H276),DAY(H276)),"dd/mm/yyyy"),", ",Constants!$P$5,TEXT(DATE(YEAR(H276)-(($I276/12)-3),MONTH(H276),DAY(H276)),"dd/mm/yyyy"),", ",Constants!$Q$5,TEXT(DATE(YEAR(H276)-(($I276/12)-4),MONTH(H276),DAY(H276)),"dd/mm/yyyy"),", ",Constants!$R$5,TEXT($H276,"dd/mm/yyyy")),IF(($I276/12)=3,_xlfn.CONCAT(Constants!$N$4,TEXT(DATE(YEAR(H276)-(($I276/12)-1),MONTH(H276),DAY(H276)),"dd/mm/yyyy"),", ",Constants!$O$4,TEXT(DATE(YEAR(H276)-(($I276/12)-2),MONTH(H276),DAY(H276)),"dd/mm/yyyy"),", ",Constants!$P$4,TEXT($H276,"dd/mm/yyyy")),IF(($I276/12)=2,_xlfn.CONCAT(Constants!$N$3,TEXT(DATE(YEAR(H276)-(($I276/12)-1),MONTH(H276),DAY(H276)),"dd/mm/yyyy"),", ",Constants!$O$3,TEXT($H276,"dd/mm/yyyy")),IF(($I276/12)=1,_xlfn.CONCAT(Constants!$N$2,TEXT($H276,"dd/mm/yyyy")),"Update Constants"))))))),"")</f>
        <v/>
      </c>
      <c r="BC276" s="147" t="str">
        <f>_xlfn.IFNA(VALUE(INDEX(Producer!$K:$K,MATCH($D276,Producer!$A:$A,0))),"")</f>
        <v/>
      </c>
      <c r="BD276" s="147" t="str">
        <f>_xlfn.IFNA(INDEX(Producer!$I:$I,MATCH($D276,Producer!$A:$A,0)),"")</f>
        <v/>
      </c>
      <c r="BE276" s="147" t="str">
        <f t="shared" si="120"/>
        <v/>
      </c>
      <c r="BF276" s="147"/>
      <c r="BG276" s="147"/>
      <c r="BH276" s="151" t="str">
        <f>_xlfn.IFNA(INDEX(Constants!$B:$B,MATCH(BC276,Constants!A:A,0)),"")</f>
        <v/>
      </c>
      <c r="BI276" s="147" t="str">
        <f>IF(LEFT(B276,15)="Limited Company",Constants!$D$16,IFERROR(_xlfn.IFNA(IF(C276="Residential",IF(BK276&lt;75,INDEX(Constants!$B:$B,MATCH(VALUE(60)/100,Constants!$A:$A,0)),INDEX(Constants!$B:$B,MATCH(VALUE(BK276)/100,Constants!$A:$A,0))),IF(BK276&lt;60,INDEX(Constants!$C:$C,MATCH(VALUE(60)/100,Constants!$A:$A,0)),INDEX(Constants!$C:$C,MATCH(VALUE(BK276)/100,Constants!$A:$A,0)))),""),""))</f>
        <v/>
      </c>
      <c r="BJ276" s="147" t="str">
        <f t="shared" si="121"/>
        <v/>
      </c>
      <c r="BK276" s="147" t="str">
        <f>_xlfn.IFNA(VALUE(INDEX(Producer!$E:$E,MATCH($D276,Producer!$A:$A,0)))*100,"")</f>
        <v/>
      </c>
      <c r="BL276" s="146" t="str">
        <f>_xlfn.IFNA(IF(IFERROR(FIND("Part &amp; Part",B276),-10)&gt;0,"PP",IF(OR(LEFT(B276,25)="Residential Interest Only",INDEX(Producer!$P:$P,MATCH($D276,Producer!$A:$A,0))="IO",INDEX(Producer!$P:$P,MATCH($D276,Producer!$A:$A,0))="Retirement Interest Only"),"IO",IF($C276="BuyToLet","CI, IO","CI"))),"")</f>
        <v/>
      </c>
      <c r="BM276" s="152" t="str">
        <f>_xlfn.IFNA(IF(BL276="IO",100%,IF(AND(INDEX(Producer!$P:$P,MATCH($D276,Producer!$A:$A,0))="Residential Interest Only Part &amp; Part",BK276=75),80%,IF(C276="BuyToLet",100%,IF(BL276="Interest Only",100%,IF(AND(INDEX(Producer!$P:$P,MATCH($D276,Producer!$A:$A,0))="Residential Interest Only Part &amp; Part",BK276=60),100%,""))))),"")</f>
        <v/>
      </c>
      <c r="BN276" s="218" t="str">
        <f>_xlfn.IFNA(IF(VALUE(INDEX(Producer!$H:$H,MATCH($D276,Producer!$A:$A,0)))=0,"",VALUE(INDEX(Producer!$H:$H,MATCH($D276,Producer!$A:$A,0)))),"")</f>
        <v/>
      </c>
      <c r="BO276" s="153"/>
      <c r="BP276" s="153"/>
      <c r="BQ276" s="219" t="str">
        <f t="shared" si="122"/>
        <v/>
      </c>
      <c r="BR276" s="146"/>
      <c r="BS276" s="146"/>
      <c r="BT276" s="146"/>
      <c r="BU276" s="146"/>
      <c r="BV276" s="219" t="str">
        <f t="shared" si="123"/>
        <v/>
      </c>
      <c r="BW276" s="146"/>
      <c r="BX276" s="146"/>
      <c r="BY276" s="146" t="str">
        <f t="shared" si="124"/>
        <v/>
      </c>
      <c r="BZ276" s="146" t="str">
        <f t="shared" si="125"/>
        <v/>
      </c>
      <c r="CA276" s="146" t="str">
        <f t="shared" si="126"/>
        <v/>
      </c>
      <c r="CB276" s="146" t="str">
        <f t="shared" si="127"/>
        <v/>
      </c>
      <c r="CC276" s="146" t="str">
        <f>_xlfn.IFNA(IF(INDEX(Producer!$P:$P,MATCH($D276,Producer!$A:$A,0))="Help to Buy","Only available","No"),"")</f>
        <v/>
      </c>
      <c r="CD276" s="146" t="str">
        <f>_xlfn.IFNA(IF(INDEX(Producer!$P:$P,MATCH($D276,Producer!$A:$A,0))="Shared Ownership","Only available","No"),"")</f>
        <v/>
      </c>
      <c r="CE276" s="146" t="str">
        <f>_xlfn.IFNA(IF(INDEX(Producer!$P:$P,MATCH($D276,Producer!$A:$A,0))="Right to Buy","Only available","No"),"")</f>
        <v/>
      </c>
      <c r="CF276" s="146" t="str">
        <f t="shared" si="128"/>
        <v/>
      </c>
      <c r="CG276" s="146" t="str">
        <f>_xlfn.IFNA(IF(INDEX(Producer!$P:$P,MATCH($D276,Producer!$A:$A,0))="Retirement Interest Only","Only available","No"),"")</f>
        <v/>
      </c>
      <c r="CH276" s="146" t="str">
        <f t="shared" si="129"/>
        <v/>
      </c>
      <c r="CI276" s="146" t="str">
        <f>_xlfn.IFNA(IF(INDEX(Producer!$P:$P,MATCH($D276,Producer!$A:$A,0))="Intermediary Holiday Let","Only available","No"),"")</f>
        <v/>
      </c>
      <c r="CJ276" s="146" t="str">
        <f t="shared" si="130"/>
        <v/>
      </c>
      <c r="CK276" s="146" t="str">
        <f>_xlfn.IFNA(IF(OR(INDEX(Producer!$P:$P,MATCH($D276,Producer!$A:$A,0))="Intermediary Small HMO",INDEX(Producer!$P:$P,MATCH($D276,Producer!$A:$A,0))="Intermediary Large HMO"),"Only available","No"),"")</f>
        <v/>
      </c>
      <c r="CL276" s="146" t="str">
        <f t="shared" si="131"/>
        <v/>
      </c>
      <c r="CM276" s="146" t="str">
        <f t="shared" si="132"/>
        <v/>
      </c>
      <c r="CN276" s="146" t="str">
        <f t="shared" si="133"/>
        <v/>
      </c>
      <c r="CO276" s="146" t="str">
        <f t="shared" si="134"/>
        <v/>
      </c>
      <c r="CP276" s="146" t="str">
        <f t="shared" si="135"/>
        <v/>
      </c>
      <c r="CQ276" s="146" t="str">
        <f t="shared" si="136"/>
        <v/>
      </c>
      <c r="CR276" s="146" t="str">
        <f t="shared" si="137"/>
        <v/>
      </c>
      <c r="CS276" s="146" t="str">
        <f t="shared" si="138"/>
        <v/>
      </c>
      <c r="CT276" s="146" t="str">
        <f t="shared" si="139"/>
        <v/>
      </c>
      <c r="CU276" s="146"/>
    </row>
    <row r="277" spans="1:99" ht="16.399999999999999" customHeight="1" x14ac:dyDescent="0.35">
      <c r="A277" s="145" t="str">
        <f t="shared" si="112"/>
        <v/>
      </c>
      <c r="B277" s="145" t="str">
        <f>_xlfn.IFNA(_xlfn.CONCAT(INDEX(Producer!$P:$P,MATCH($D277,Producer!$A:$A,0))," ",IF(INDEX(Producer!$N:$N,MATCH($D277,Producer!$A:$A,0))="Yes","Green ",""),IF(AND(INDEX(Producer!$L:$L,MATCH($D277,Producer!$A:$A,0))="No",INDEX(Producer!$C:$C,MATCH($D277,Producer!$A:$A,0))="Fixed"),"Flexit ",""),INDEX(Producer!$B:$B,MATCH($D277,Producer!$A:$A,0))," Year ",INDEX(Producer!$C:$C,MATCH($D277,Producer!$A:$A,0))," ",VALUE(INDEX(Producer!$E:$E,MATCH($D277,Producer!$A:$A,0)))*100,"% LTV",IF(INDEX(Producer!$N:$N,MATCH($D277,Producer!$A:$A,0))="Yes"," (EPC A-C)","")," - ",IF(INDEX(Producer!$D:$D,MATCH($D277,Producer!$A:$A,0))="DLY","Daily","Annual")),"")</f>
        <v/>
      </c>
      <c r="C277" s="146" t="str">
        <f>_xlfn.IFNA(INDEX(Producer!$Q:$Q,MATCH($D277,Producer!$A:$A,0)),"")</f>
        <v/>
      </c>
      <c r="D277" s="146" t="str">
        <f>IFERROR(VALUE(MID(Producer!$R$2,IF($D276="",1/0,FIND(_xlfn.CONCAT($D275,$D276),Producer!$R$2)+10),5)),"")</f>
        <v/>
      </c>
      <c r="E277" s="146" t="str">
        <f t="shared" si="113"/>
        <v/>
      </c>
      <c r="F277" s="146"/>
      <c r="G277" s="147" t="str">
        <f>_xlfn.IFNA(VALUE(INDEX(Producer!$F:$F,MATCH($D277,Producer!$A:$A,0)))*100,"")</f>
        <v/>
      </c>
      <c r="H277" s="216" t="str">
        <f>_xlfn.IFNA(IFERROR(DATEVALUE(INDEX(Producer!$M:$M,MATCH($D277,Producer!$A:$A,0))),(INDEX(Producer!$M:$M,MATCH($D277,Producer!$A:$A,0)))),"")</f>
        <v/>
      </c>
      <c r="I277" s="217" t="str">
        <f>_xlfn.IFNA(VALUE(INDEX(Producer!$B:$B,MATCH($D277,Producer!$A:$A,0)))*12,"")</f>
        <v/>
      </c>
      <c r="J277" s="146" t="str">
        <f>_xlfn.IFNA(IF(C277="Residential",IF(VALUE(INDEX(Producer!$B:$B,MATCH($D277,Producer!$A:$A,0)))&lt;5,Constants!$C$10,""),IF(VALUE(INDEX(Producer!$B:$B,MATCH($D277,Producer!$A:$A,0)))&lt;5,Constants!$C$11,"")),"")</f>
        <v/>
      </c>
      <c r="K277" s="216" t="str">
        <f>_xlfn.IFNA(IF(($I277)&lt;60,DATE(YEAR(H277)+(5-VALUE(INDEX(Producer!$B:$B,MATCH($D277,Producer!$A:$A,0)))),MONTH(H277),DAY(H277)),""),"")</f>
        <v/>
      </c>
      <c r="L277" s="153" t="str">
        <f t="shared" si="114"/>
        <v/>
      </c>
      <c r="M277" s="146"/>
      <c r="N277" s="148"/>
      <c r="O277" s="148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  <c r="AA277" s="146"/>
      <c r="AB277" s="146"/>
      <c r="AC277" s="146"/>
      <c r="AD277" s="146"/>
      <c r="AE277" s="146"/>
      <c r="AF277" s="146"/>
      <c r="AG277" s="146"/>
      <c r="AH277" s="146"/>
      <c r="AI277" s="146"/>
      <c r="AJ277" s="146"/>
      <c r="AK277" s="146" t="str">
        <f>IF(D277="","",IF(C277="Residential",Constants!$B$10,Constants!$B$11))</f>
        <v/>
      </c>
      <c r="AL277" s="146" t="str">
        <f t="shared" si="115"/>
        <v/>
      </c>
      <c r="AM277" s="206" t="str">
        <f t="shared" si="116"/>
        <v/>
      </c>
      <c r="AN277" s="146" t="str">
        <f t="shared" si="117"/>
        <v/>
      </c>
      <c r="AO277" s="149" t="str">
        <f t="shared" si="118"/>
        <v/>
      </c>
      <c r="AP277" s="150" t="str">
        <f t="shared" si="119"/>
        <v/>
      </c>
      <c r="AQ277" s="146" t="str">
        <f>IFERROR(_xlfn.IFNA(IF($BA277="No",0,IF(INDEX(Constants!B:B,MATCH(($I277/12),Constants!$A:$A,0))=0,0,INDEX(Constants!B:B,MATCH(($I277/12),Constants!$A:$A,0)))),0),"")</f>
        <v/>
      </c>
      <c r="AR277" s="146" t="str">
        <f>IFERROR(_xlfn.IFNA(IF($BA277="No",0,IF(INDEX(Constants!C:C,MATCH(($I277/12),Constants!$A:$A,0))=0,0,INDEX(Constants!C:C,MATCH(($I277/12),Constants!$A:$A,0)))),0),"")</f>
        <v/>
      </c>
      <c r="AS277" s="146" t="str">
        <f>IFERROR(_xlfn.IFNA(IF($BA277="No",0,IF(INDEX(Constants!D:D,MATCH(($I277/12),Constants!$A:$A,0))=0,0,INDEX(Constants!D:D,MATCH(($I277/12),Constants!$A:$A,0)))),0),"")</f>
        <v/>
      </c>
      <c r="AT277" s="146" t="str">
        <f>IFERROR(_xlfn.IFNA(IF($BA277="No",0,IF(INDEX(Constants!E:E,MATCH(($I277/12),Constants!$A:$A,0))=0,0,INDEX(Constants!E:E,MATCH(($I277/12),Constants!$A:$A,0)))),0),"")</f>
        <v/>
      </c>
      <c r="AU277" s="146" t="str">
        <f>IFERROR(_xlfn.IFNA(IF($BA277="No",0,IF(INDEX(Constants!F:F,MATCH(($I277/12),Constants!$A:$A,0))=0,0,INDEX(Constants!F:F,MATCH(($I277/12),Constants!$A:$A,0)))),0),"")</f>
        <v/>
      </c>
      <c r="AV277" s="146" t="str">
        <f>IFERROR(_xlfn.IFNA(IF($BA277="No",0,IF(INDEX(Constants!G:G,MATCH(($I277/12),Constants!$A:$A,0))=0,0,INDEX(Constants!G:G,MATCH(($I277/12),Constants!$A:$A,0)))),0),"")</f>
        <v/>
      </c>
      <c r="AW277" s="146" t="str">
        <f>IFERROR(_xlfn.IFNA(IF($BA277="No",0,IF(INDEX(Constants!H:H,MATCH(($I277/12),Constants!$A:$A,0))=0,0,INDEX(Constants!H:H,MATCH(($I277/12),Constants!$A:$A,0)))),0),"")</f>
        <v/>
      </c>
      <c r="AX277" s="146" t="str">
        <f>IFERROR(_xlfn.IFNA(IF($BA277="No",0,IF(INDEX(Constants!I:I,MATCH(($I277/12),Constants!$A:$A,0))=0,0,INDEX(Constants!I:I,MATCH(($I277/12),Constants!$A:$A,0)))),0),"")</f>
        <v/>
      </c>
      <c r="AY277" s="146" t="str">
        <f>IFERROR(_xlfn.IFNA(IF($BA277="No",0,IF(INDEX(Constants!J:J,MATCH(($I277/12),Constants!$A:$A,0))=0,0,INDEX(Constants!J:J,MATCH(($I277/12),Constants!$A:$A,0)))),0),"")</f>
        <v/>
      </c>
      <c r="AZ277" s="146" t="str">
        <f>IFERROR(_xlfn.IFNA(IF($BA277="No",0,IF(INDEX(Constants!K:K,MATCH(($I277/12),Constants!$A:$A,0))=0,0,INDEX(Constants!K:K,MATCH(($I277/12),Constants!$A:$A,0)))),0),"")</f>
        <v/>
      </c>
      <c r="BA277" s="147" t="str">
        <f>_xlfn.IFNA(INDEX(Producer!$L:$L,MATCH($D277,Producer!$A:$A,0)),"")</f>
        <v/>
      </c>
      <c r="BB277" s="146" t="str">
        <f>IFERROR(IF(AQ277=0,"",IF(($I277/12)=15,_xlfn.CONCAT(Constants!$N$7,TEXT(DATE(YEAR(H277)-(($I277/12)-3),MONTH(H277),DAY(H277)),"dd/mm/yyyy"),", ",Constants!$P$7,TEXT(DATE(YEAR(H277)-(($I277/12)-8),MONTH(H277),DAY(H277)),"dd/mm/yyyy"),", ",Constants!$T$7,TEXT(DATE(YEAR(H277)-(($I277/12)-11),MONTH(H277),DAY(H277)),"dd/mm/yyyy"),", ",Constants!$V$7,TEXT(DATE(YEAR(H277)-(($I277/12)-13),MONTH(H277),DAY(H277)),"dd/mm/yyyy"),", ",Constants!$W$7,TEXT($H277,"dd/mm/yyyy")),IF(($I277/12)=10,_xlfn.CONCAT(Constants!$N$6,TEXT(DATE(YEAR(H277)-(($I277/12)-2),MONTH(H277),DAY(H277)),"dd/mm/yyyy"),", ",Constants!$P$6,TEXT(DATE(YEAR(H277)-(($I277/12)-6),MONTH(H277),DAY(H277)),"dd/mm/yyyy"),", ",Constants!$T$6,TEXT(DATE(YEAR(H277)-(($I277/12)-8),MONTH(H277),DAY(H277)),"dd/mm/yyyy"),", ",Constants!$V$6,TEXT(DATE(YEAR(H277)-(($I277/12)-9),MONTH(H277),DAY(H277)),"dd/mm/yyyy"),", ",Constants!$W$6,TEXT($H277,"dd/mm/yyyy")),IF(($I277/12)=5,_xlfn.CONCAT(Constants!$N$5,TEXT(DATE(YEAR(H277)-(($I277/12)-1),MONTH(H277),DAY(H277)),"dd/mm/yyyy"),", ",Constants!$O$5,TEXT(DATE(YEAR(H277)-(($I277/12)-2),MONTH(H277),DAY(H277)),"dd/mm/yyyy"),", ",Constants!$P$5,TEXT(DATE(YEAR(H277)-(($I277/12)-3),MONTH(H277),DAY(H277)),"dd/mm/yyyy"),", ",Constants!$Q$5,TEXT(DATE(YEAR(H277)-(($I277/12)-4),MONTH(H277),DAY(H277)),"dd/mm/yyyy"),", ",Constants!$R$5,TEXT($H277,"dd/mm/yyyy")),IF(($I277/12)=3,_xlfn.CONCAT(Constants!$N$4,TEXT(DATE(YEAR(H277)-(($I277/12)-1),MONTH(H277),DAY(H277)),"dd/mm/yyyy"),", ",Constants!$O$4,TEXT(DATE(YEAR(H277)-(($I277/12)-2),MONTH(H277),DAY(H277)),"dd/mm/yyyy"),", ",Constants!$P$4,TEXT($H277,"dd/mm/yyyy")),IF(($I277/12)=2,_xlfn.CONCAT(Constants!$N$3,TEXT(DATE(YEAR(H277)-(($I277/12)-1),MONTH(H277),DAY(H277)),"dd/mm/yyyy"),", ",Constants!$O$3,TEXT($H277,"dd/mm/yyyy")),IF(($I277/12)=1,_xlfn.CONCAT(Constants!$N$2,TEXT($H277,"dd/mm/yyyy")),"Update Constants"))))))),"")</f>
        <v/>
      </c>
      <c r="BC277" s="147" t="str">
        <f>_xlfn.IFNA(VALUE(INDEX(Producer!$K:$K,MATCH($D277,Producer!$A:$A,0))),"")</f>
        <v/>
      </c>
      <c r="BD277" s="147" t="str">
        <f>_xlfn.IFNA(INDEX(Producer!$I:$I,MATCH($D277,Producer!$A:$A,0)),"")</f>
        <v/>
      </c>
      <c r="BE277" s="147" t="str">
        <f t="shared" si="120"/>
        <v/>
      </c>
      <c r="BF277" s="147"/>
      <c r="BG277" s="147"/>
      <c r="BH277" s="151" t="str">
        <f>_xlfn.IFNA(INDEX(Constants!$B:$B,MATCH(BC277,Constants!A:A,0)),"")</f>
        <v/>
      </c>
      <c r="BI277" s="147" t="str">
        <f>IF(LEFT(B277,15)="Limited Company",Constants!$D$16,IFERROR(_xlfn.IFNA(IF(C277="Residential",IF(BK277&lt;75,INDEX(Constants!$B:$B,MATCH(VALUE(60)/100,Constants!$A:$A,0)),INDEX(Constants!$B:$B,MATCH(VALUE(BK277)/100,Constants!$A:$A,0))),IF(BK277&lt;60,INDEX(Constants!$C:$C,MATCH(VALUE(60)/100,Constants!$A:$A,0)),INDEX(Constants!$C:$C,MATCH(VALUE(BK277)/100,Constants!$A:$A,0)))),""),""))</f>
        <v/>
      </c>
      <c r="BJ277" s="147" t="str">
        <f t="shared" si="121"/>
        <v/>
      </c>
      <c r="BK277" s="147" t="str">
        <f>_xlfn.IFNA(VALUE(INDEX(Producer!$E:$E,MATCH($D277,Producer!$A:$A,0)))*100,"")</f>
        <v/>
      </c>
      <c r="BL277" s="146" t="str">
        <f>_xlfn.IFNA(IF(IFERROR(FIND("Part &amp; Part",B277),-10)&gt;0,"PP",IF(OR(LEFT(B277,25)="Residential Interest Only",INDEX(Producer!$P:$P,MATCH($D277,Producer!$A:$A,0))="IO",INDEX(Producer!$P:$P,MATCH($D277,Producer!$A:$A,0))="Retirement Interest Only"),"IO",IF($C277="BuyToLet","CI, IO","CI"))),"")</f>
        <v/>
      </c>
      <c r="BM277" s="152" t="str">
        <f>_xlfn.IFNA(IF(BL277="IO",100%,IF(AND(INDEX(Producer!$P:$P,MATCH($D277,Producer!$A:$A,0))="Residential Interest Only Part &amp; Part",BK277=75),80%,IF(C277="BuyToLet",100%,IF(BL277="Interest Only",100%,IF(AND(INDEX(Producer!$P:$P,MATCH($D277,Producer!$A:$A,0))="Residential Interest Only Part &amp; Part",BK277=60),100%,""))))),"")</f>
        <v/>
      </c>
      <c r="BN277" s="218" t="str">
        <f>_xlfn.IFNA(IF(VALUE(INDEX(Producer!$H:$H,MATCH($D277,Producer!$A:$A,0)))=0,"",VALUE(INDEX(Producer!$H:$H,MATCH($D277,Producer!$A:$A,0)))),"")</f>
        <v/>
      </c>
      <c r="BO277" s="153"/>
      <c r="BP277" s="153"/>
      <c r="BQ277" s="219" t="str">
        <f t="shared" si="122"/>
        <v/>
      </c>
      <c r="BR277" s="146"/>
      <c r="BS277" s="146"/>
      <c r="BT277" s="146"/>
      <c r="BU277" s="146"/>
      <c r="BV277" s="219" t="str">
        <f t="shared" si="123"/>
        <v/>
      </c>
      <c r="BW277" s="146"/>
      <c r="BX277" s="146"/>
      <c r="BY277" s="146" t="str">
        <f t="shared" si="124"/>
        <v/>
      </c>
      <c r="BZ277" s="146" t="str">
        <f t="shared" si="125"/>
        <v/>
      </c>
      <c r="CA277" s="146" t="str">
        <f t="shared" si="126"/>
        <v/>
      </c>
      <c r="CB277" s="146" t="str">
        <f t="shared" si="127"/>
        <v/>
      </c>
      <c r="CC277" s="146" t="str">
        <f>_xlfn.IFNA(IF(INDEX(Producer!$P:$P,MATCH($D277,Producer!$A:$A,0))="Help to Buy","Only available","No"),"")</f>
        <v/>
      </c>
      <c r="CD277" s="146" t="str">
        <f>_xlfn.IFNA(IF(INDEX(Producer!$P:$P,MATCH($D277,Producer!$A:$A,0))="Shared Ownership","Only available","No"),"")</f>
        <v/>
      </c>
      <c r="CE277" s="146" t="str">
        <f>_xlfn.IFNA(IF(INDEX(Producer!$P:$P,MATCH($D277,Producer!$A:$A,0))="Right to Buy","Only available","No"),"")</f>
        <v/>
      </c>
      <c r="CF277" s="146" t="str">
        <f t="shared" si="128"/>
        <v/>
      </c>
      <c r="CG277" s="146" t="str">
        <f>_xlfn.IFNA(IF(INDEX(Producer!$P:$P,MATCH($D277,Producer!$A:$A,0))="Retirement Interest Only","Only available","No"),"")</f>
        <v/>
      </c>
      <c r="CH277" s="146" t="str">
        <f t="shared" si="129"/>
        <v/>
      </c>
      <c r="CI277" s="146" t="str">
        <f>_xlfn.IFNA(IF(INDEX(Producer!$P:$P,MATCH($D277,Producer!$A:$A,0))="Intermediary Holiday Let","Only available","No"),"")</f>
        <v/>
      </c>
      <c r="CJ277" s="146" t="str">
        <f t="shared" si="130"/>
        <v/>
      </c>
      <c r="CK277" s="146" t="str">
        <f>_xlfn.IFNA(IF(OR(INDEX(Producer!$P:$P,MATCH($D277,Producer!$A:$A,0))="Intermediary Small HMO",INDEX(Producer!$P:$P,MATCH($D277,Producer!$A:$A,0))="Intermediary Large HMO"),"Only available","No"),"")</f>
        <v/>
      </c>
      <c r="CL277" s="146" t="str">
        <f t="shared" si="131"/>
        <v/>
      </c>
      <c r="CM277" s="146" t="str">
        <f t="shared" si="132"/>
        <v/>
      </c>
      <c r="CN277" s="146" t="str">
        <f t="shared" si="133"/>
        <v/>
      </c>
      <c r="CO277" s="146" t="str">
        <f t="shared" si="134"/>
        <v/>
      </c>
      <c r="CP277" s="146" t="str">
        <f t="shared" si="135"/>
        <v/>
      </c>
      <c r="CQ277" s="146" t="str">
        <f t="shared" si="136"/>
        <v/>
      </c>
      <c r="CR277" s="146" t="str">
        <f t="shared" si="137"/>
        <v/>
      </c>
      <c r="CS277" s="146" t="str">
        <f t="shared" si="138"/>
        <v/>
      </c>
      <c r="CT277" s="146" t="str">
        <f t="shared" si="139"/>
        <v/>
      </c>
      <c r="CU277" s="146"/>
    </row>
    <row r="278" spans="1:99" ht="16.399999999999999" customHeight="1" x14ac:dyDescent="0.35">
      <c r="A278" s="145" t="str">
        <f t="shared" si="112"/>
        <v/>
      </c>
      <c r="B278" s="145" t="str">
        <f>_xlfn.IFNA(_xlfn.CONCAT(INDEX(Producer!$P:$P,MATCH($D278,Producer!$A:$A,0))," ",IF(INDEX(Producer!$N:$N,MATCH($D278,Producer!$A:$A,0))="Yes","Green ",""),IF(AND(INDEX(Producer!$L:$L,MATCH($D278,Producer!$A:$A,0))="No",INDEX(Producer!$C:$C,MATCH($D278,Producer!$A:$A,0))="Fixed"),"Flexit ",""),INDEX(Producer!$B:$B,MATCH($D278,Producer!$A:$A,0))," Year ",INDEX(Producer!$C:$C,MATCH($D278,Producer!$A:$A,0))," ",VALUE(INDEX(Producer!$E:$E,MATCH($D278,Producer!$A:$A,0)))*100,"% LTV",IF(INDEX(Producer!$N:$N,MATCH($D278,Producer!$A:$A,0))="Yes"," (EPC A-C)","")," - ",IF(INDEX(Producer!$D:$D,MATCH($D278,Producer!$A:$A,0))="DLY","Daily","Annual")),"")</f>
        <v/>
      </c>
      <c r="C278" s="146" t="str">
        <f>_xlfn.IFNA(INDEX(Producer!$Q:$Q,MATCH($D278,Producer!$A:$A,0)),"")</f>
        <v/>
      </c>
      <c r="D278" s="146" t="str">
        <f>IFERROR(VALUE(MID(Producer!$R$2,IF($D277="",1/0,FIND(_xlfn.CONCAT($D276,$D277),Producer!$R$2)+10),5)),"")</f>
        <v/>
      </c>
      <c r="E278" s="146" t="str">
        <f t="shared" si="113"/>
        <v/>
      </c>
      <c r="F278" s="146"/>
      <c r="G278" s="147" t="str">
        <f>_xlfn.IFNA(VALUE(INDEX(Producer!$F:$F,MATCH($D278,Producer!$A:$A,0)))*100,"")</f>
        <v/>
      </c>
      <c r="H278" s="216" t="str">
        <f>_xlfn.IFNA(IFERROR(DATEVALUE(INDEX(Producer!$M:$M,MATCH($D278,Producer!$A:$A,0))),(INDEX(Producer!$M:$M,MATCH($D278,Producer!$A:$A,0)))),"")</f>
        <v/>
      </c>
      <c r="I278" s="217" t="str">
        <f>_xlfn.IFNA(VALUE(INDEX(Producer!$B:$B,MATCH($D278,Producer!$A:$A,0)))*12,"")</f>
        <v/>
      </c>
      <c r="J278" s="146" t="str">
        <f>_xlfn.IFNA(IF(C278="Residential",IF(VALUE(INDEX(Producer!$B:$B,MATCH($D278,Producer!$A:$A,0)))&lt;5,Constants!$C$10,""),IF(VALUE(INDEX(Producer!$B:$B,MATCH($D278,Producer!$A:$A,0)))&lt;5,Constants!$C$11,"")),"")</f>
        <v/>
      </c>
      <c r="K278" s="216" t="str">
        <f>_xlfn.IFNA(IF(($I278)&lt;60,DATE(YEAR(H278)+(5-VALUE(INDEX(Producer!$B:$B,MATCH($D278,Producer!$A:$A,0)))),MONTH(H278),DAY(H278)),""),"")</f>
        <v/>
      </c>
      <c r="L278" s="153" t="str">
        <f t="shared" si="114"/>
        <v/>
      </c>
      <c r="M278" s="146"/>
      <c r="N278" s="148"/>
      <c r="O278" s="148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46"/>
      <c r="AB278" s="146"/>
      <c r="AC278" s="146"/>
      <c r="AD278" s="146"/>
      <c r="AE278" s="146"/>
      <c r="AF278" s="146"/>
      <c r="AG278" s="146"/>
      <c r="AH278" s="146"/>
      <c r="AI278" s="146"/>
      <c r="AJ278" s="146"/>
      <c r="AK278" s="146" t="str">
        <f>IF(D278="","",IF(C278="Residential",Constants!$B$10,Constants!$B$11))</f>
        <v/>
      </c>
      <c r="AL278" s="146" t="str">
        <f t="shared" si="115"/>
        <v/>
      </c>
      <c r="AM278" s="206" t="str">
        <f t="shared" si="116"/>
        <v/>
      </c>
      <c r="AN278" s="146" t="str">
        <f t="shared" si="117"/>
        <v/>
      </c>
      <c r="AO278" s="149" t="str">
        <f t="shared" si="118"/>
        <v/>
      </c>
      <c r="AP278" s="150" t="str">
        <f t="shared" si="119"/>
        <v/>
      </c>
      <c r="AQ278" s="146" t="str">
        <f>IFERROR(_xlfn.IFNA(IF($BA278="No",0,IF(INDEX(Constants!B:B,MATCH(($I278/12),Constants!$A:$A,0))=0,0,INDEX(Constants!B:B,MATCH(($I278/12),Constants!$A:$A,0)))),0),"")</f>
        <v/>
      </c>
      <c r="AR278" s="146" t="str">
        <f>IFERROR(_xlfn.IFNA(IF($BA278="No",0,IF(INDEX(Constants!C:C,MATCH(($I278/12),Constants!$A:$A,0))=0,0,INDEX(Constants!C:C,MATCH(($I278/12),Constants!$A:$A,0)))),0),"")</f>
        <v/>
      </c>
      <c r="AS278" s="146" t="str">
        <f>IFERROR(_xlfn.IFNA(IF($BA278="No",0,IF(INDEX(Constants!D:D,MATCH(($I278/12),Constants!$A:$A,0))=0,0,INDEX(Constants!D:D,MATCH(($I278/12),Constants!$A:$A,0)))),0),"")</f>
        <v/>
      </c>
      <c r="AT278" s="146" t="str">
        <f>IFERROR(_xlfn.IFNA(IF($BA278="No",0,IF(INDEX(Constants!E:E,MATCH(($I278/12),Constants!$A:$A,0))=0,0,INDEX(Constants!E:E,MATCH(($I278/12),Constants!$A:$A,0)))),0),"")</f>
        <v/>
      </c>
      <c r="AU278" s="146" t="str">
        <f>IFERROR(_xlfn.IFNA(IF($BA278="No",0,IF(INDEX(Constants!F:F,MATCH(($I278/12),Constants!$A:$A,0))=0,0,INDEX(Constants!F:F,MATCH(($I278/12),Constants!$A:$A,0)))),0),"")</f>
        <v/>
      </c>
      <c r="AV278" s="146" t="str">
        <f>IFERROR(_xlfn.IFNA(IF($BA278="No",0,IF(INDEX(Constants!G:G,MATCH(($I278/12),Constants!$A:$A,0))=0,0,INDEX(Constants!G:G,MATCH(($I278/12),Constants!$A:$A,0)))),0),"")</f>
        <v/>
      </c>
      <c r="AW278" s="146" t="str">
        <f>IFERROR(_xlfn.IFNA(IF($BA278="No",0,IF(INDEX(Constants!H:H,MATCH(($I278/12),Constants!$A:$A,0))=0,0,INDEX(Constants!H:H,MATCH(($I278/12),Constants!$A:$A,0)))),0),"")</f>
        <v/>
      </c>
      <c r="AX278" s="146" t="str">
        <f>IFERROR(_xlfn.IFNA(IF($BA278="No",0,IF(INDEX(Constants!I:I,MATCH(($I278/12),Constants!$A:$A,0))=0,0,INDEX(Constants!I:I,MATCH(($I278/12),Constants!$A:$A,0)))),0),"")</f>
        <v/>
      </c>
      <c r="AY278" s="146" t="str">
        <f>IFERROR(_xlfn.IFNA(IF($BA278="No",0,IF(INDEX(Constants!J:J,MATCH(($I278/12),Constants!$A:$A,0))=0,0,INDEX(Constants!J:J,MATCH(($I278/12),Constants!$A:$A,0)))),0),"")</f>
        <v/>
      </c>
      <c r="AZ278" s="146" t="str">
        <f>IFERROR(_xlfn.IFNA(IF($BA278="No",0,IF(INDEX(Constants!K:K,MATCH(($I278/12),Constants!$A:$A,0))=0,0,INDEX(Constants!K:K,MATCH(($I278/12),Constants!$A:$A,0)))),0),"")</f>
        <v/>
      </c>
      <c r="BA278" s="147" t="str">
        <f>_xlfn.IFNA(INDEX(Producer!$L:$L,MATCH($D278,Producer!$A:$A,0)),"")</f>
        <v/>
      </c>
      <c r="BB278" s="146" t="str">
        <f>IFERROR(IF(AQ278=0,"",IF(($I278/12)=15,_xlfn.CONCAT(Constants!$N$7,TEXT(DATE(YEAR(H278)-(($I278/12)-3),MONTH(H278),DAY(H278)),"dd/mm/yyyy"),", ",Constants!$P$7,TEXT(DATE(YEAR(H278)-(($I278/12)-8),MONTH(H278),DAY(H278)),"dd/mm/yyyy"),", ",Constants!$T$7,TEXT(DATE(YEAR(H278)-(($I278/12)-11),MONTH(H278),DAY(H278)),"dd/mm/yyyy"),", ",Constants!$V$7,TEXT(DATE(YEAR(H278)-(($I278/12)-13),MONTH(H278),DAY(H278)),"dd/mm/yyyy"),", ",Constants!$W$7,TEXT($H278,"dd/mm/yyyy")),IF(($I278/12)=10,_xlfn.CONCAT(Constants!$N$6,TEXT(DATE(YEAR(H278)-(($I278/12)-2),MONTH(H278),DAY(H278)),"dd/mm/yyyy"),", ",Constants!$P$6,TEXT(DATE(YEAR(H278)-(($I278/12)-6),MONTH(H278),DAY(H278)),"dd/mm/yyyy"),", ",Constants!$T$6,TEXT(DATE(YEAR(H278)-(($I278/12)-8),MONTH(H278),DAY(H278)),"dd/mm/yyyy"),", ",Constants!$V$6,TEXT(DATE(YEAR(H278)-(($I278/12)-9),MONTH(H278),DAY(H278)),"dd/mm/yyyy"),", ",Constants!$W$6,TEXT($H278,"dd/mm/yyyy")),IF(($I278/12)=5,_xlfn.CONCAT(Constants!$N$5,TEXT(DATE(YEAR(H278)-(($I278/12)-1),MONTH(H278),DAY(H278)),"dd/mm/yyyy"),", ",Constants!$O$5,TEXT(DATE(YEAR(H278)-(($I278/12)-2),MONTH(H278),DAY(H278)),"dd/mm/yyyy"),", ",Constants!$P$5,TEXT(DATE(YEAR(H278)-(($I278/12)-3),MONTH(H278),DAY(H278)),"dd/mm/yyyy"),", ",Constants!$Q$5,TEXT(DATE(YEAR(H278)-(($I278/12)-4),MONTH(H278),DAY(H278)),"dd/mm/yyyy"),", ",Constants!$R$5,TEXT($H278,"dd/mm/yyyy")),IF(($I278/12)=3,_xlfn.CONCAT(Constants!$N$4,TEXT(DATE(YEAR(H278)-(($I278/12)-1),MONTH(H278),DAY(H278)),"dd/mm/yyyy"),", ",Constants!$O$4,TEXT(DATE(YEAR(H278)-(($I278/12)-2),MONTH(H278),DAY(H278)),"dd/mm/yyyy"),", ",Constants!$P$4,TEXT($H278,"dd/mm/yyyy")),IF(($I278/12)=2,_xlfn.CONCAT(Constants!$N$3,TEXT(DATE(YEAR(H278)-(($I278/12)-1),MONTH(H278),DAY(H278)),"dd/mm/yyyy"),", ",Constants!$O$3,TEXT($H278,"dd/mm/yyyy")),IF(($I278/12)=1,_xlfn.CONCAT(Constants!$N$2,TEXT($H278,"dd/mm/yyyy")),"Update Constants"))))))),"")</f>
        <v/>
      </c>
      <c r="BC278" s="147" t="str">
        <f>_xlfn.IFNA(VALUE(INDEX(Producer!$K:$K,MATCH($D278,Producer!$A:$A,0))),"")</f>
        <v/>
      </c>
      <c r="BD278" s="147" t="str">
        <f>_xlfn.IFNA(INDEX(Producer!$I:$I,MATCH($D278,Producer!$A:$A,0)),"")</f>
        <v/>
      </c>
      <c r="BE278" s="147" t="str">
        <f t="shared" si="120"/>
        <v/>
      </c>
      <c r="BF278" s="147"/>
      <c r="BG278" s="147"/>
      <c r="BH278" s="151" t="str">
        <f>_xlfn.IFNA(INDEX(Constants!$B:$B,MATCH(BC278,Constants!A:A,0)),"")</f>
        <v/>
      </c>
      <c r="BI278" s="147" t="str">
        <f>IF(LEFT(B278,15)="Limited Company",Constants!$D$16,IFERROR(_xlfn.IFNA(IF(C278="Residential",IF(BK278&lt;75,INDEX(Constants!$B:$B,MATCH(VALUE(60)/100,Constants!$A:$A,0)),INDEX(Constants!$B:$B,MATCH(VALUE(BK278)/100,Constants!$A:$A,0))),IF(BK278&lt;60,INDEX(Constants!$C:$C,MATCH(VALUE(60)/100,Constants!$A:$A,0)),INDEX(Constants!$C:$C,MATCH(VALUE(BK278)/100,Constants!$A:$A,0)))),""),""))</f>
        <v/>
      </c>
      <c r="BJ278" s="147" t="str">
        <f t="shared" si="121"/>
        <v/>
      </c>
      <c r="BK278" s="147" t="str">
        <f>_xlfn.IFNA(VALUE(INDEX(Producer!$E:$E,MATCH($D278,Producer!$A:$A,0)))*100,"")</f>
        <v/>
      </c>
      <c r="BL278" s="146" t="str">
        <f>_xlfn.IFNA(IF(IFERROR(FIND("Part &amp; Part",B278),-10)&gt;0,"PP",IF(OR(LEFT(B278,25)="Residential Interest Only",INDEX(Producer!$P:$P,MATCH($D278,Producer!$A:$A,0))="IO",INDEX(Producer!$P:$P,MATCH($D278,Producer!$A:$A,0))="Retirement Interest Only"),"IO",IF($C278="BuyToLet","CI, IO","CI"))),"")</f>
        <v/>
      </c>
      <c r="BM278" s="152" t="str">
        <f>_xlfn.IFNA(IF(BL278="IO",100%,IF(AND(INDEX(Producer!$P:$P,MATCH($D278,Producer!$A:$A,0))="Residential Interest Only Part &amp; Part",BK278=75),80%,IF(C278="BuyToLet",100%,IF(BL278="Interest Only",100%,IF(AND(INDEX(Producer!$P:$P,MATCH($D278,Producer!$A:$A,0))="Residential Interest Only Part &amp; Part",BK278=60),100%,""))))),"")</f>
        <v/>
      </c>
      <c r="BN278" s="218" t="str">
        <f>_xlfn.IFNA(IF(VALUE(INDEX(Producer!$H:$H,MATCH($D278,Producer!$A:$A,0)))=0,"",VALUE(INDEX(Producer!$H:$H,MATCH($D278,Producer!$A:$A,0)))),"")</f>
        <v/>
      </c>
      <c r="BO278" s="153"/>
      <c r="BP278" s="153"/>
      <c r="BQ278" s="219" t="str">
        <f t="shared" si="122"/>
        <v/>
      </c>
      <c r="BR278" s="146"/>
      <c r="BS278" s="146"/>
      <c r="BT278" s="146"/>
      <c r="BU278" s="146"/>
      <c r="BV278" s="219" t="str">
        <f t="shared" si="123"/>
        <v/>
      </c>
      <c r="BW278" s="146"/>
      <c r="BX278" s="146"/>
      <c r="BY278" s="146" t="str">
        <f t="shared" si="124"/>
        <v/>
      </c>
      <c r="BZ278" s="146" t="str">
        <f t="shared" si="125"/>
        <v/>
      </c>
      <c r="CA278" s="146" t="str">
        <f t="shared" si="126"/>
        <v/>
      </c>
      <c r="CB278" s="146" t="str">
        <f t="shared" si="127"/>
        <v/>
      </c>
      <c r="CC278" s="146" t="str">
        <f>_xlfn.IFNA(IF(INDEX(Producer!$P:$P,MATCH($D278,Producer!$A:$A,0))="Help to Buy","Only available","No"),"")</f>
        <v/>
      </c>
      <c r="CD278" s="146" t="str">
        <f>_xlfn.IFNA(IF(INDEX(Producer!$P:$P,MATCH($D278,Producer!$A:$A,0))="Shared Ownership","Only available","No"),"")</f>
        <v/>
      </c>
      <c r="CE278" s="146" t="str">
        <f>_xlfn.IFNA(IF(INDEX(Producer!$P:$P,MATCH($D278,Producer!$A:$A,0))="Right to Buy","Only available","No"),"")</f>
        <v/>
      </c>
      <c r="CF278" s="146" t="str">
        <f t="shared" si="128"/>
        <v/>
      </c>
      <c r="CG278" s="146" t="str">
        <f>_xlfn.IFNA(IF(INDEX(Producer!$P:$P,MATCH($D278,Producer!$A:$A,0))="Retirement Interest Only","Only available","No"),"")</f>
        <v/>
      </c>
      <c r="CH278" s="146" t="str">
        <f t="shared" si="129"/>
        <v/>
      </c>
      <c r="CI278" s="146" t="str">
        <f>_xlfn.IFNA(IF(INDEX(Producer!$P:$P,MATCH($D278,Producer!$A:$A,0))="Intermediary Holiday Let","Only available","No"),"")</f>
        <v/>
      </c>
      <c r="CJ278" s="146" t="str">
        <f t="shared" si="130"/>
        <v/>
      </c>
      <c r="CK278" s="146" t="str">
        <f>_xlfn.IFNA(IF(OR(INDEX(Producer!$P:$P,MATCH($D278,Producer!$A:$A,0))="Intermediary Small HMO",INDEX(Producer!$P:$P,MATCH($D278,Producer!$A:$A,0))="Intermediary Large HMO"),"Only available","No"),"")</f>
        <v/>
      </c>
      <c r="CL278" s="146" t="str">
        <f t="shared" si="131"/>
        <v/>
      </c>
      <c r="CM278" s="146" t="str">
        <f t="shared" si="132"/>
        <v/>
      </c>
      <c r="CN278" s="146" t="str">
        <f t="shared" si="133"/>
        <v/>
      </c>
      <c r="CO278" s="146" t="str">
        <f t="shared" si="134"/>
        <v/>
      </c>
      <c r="CP278" s="146" t="str">
        <f t="shared" si="135"/>
        <v/>
      </c>
      <c r="CQ278" s="146" t="str">
        <f t="shared" si="136"/>
        <v/>
      </c>
      <c r="CR278" s="146" t="str">
        <f t="shared" si="137"/>
        <v/>
      </c>
      <c r="CS278" s="146" t="str">
        <f t="shared" si="138"/>
        <v/>
      </c>
      <c r="CT278" s="146" t="str">
        <f t="shared" si="139"/>
        <v/>
      </c>
      <c r="CU278" s="146"/>
    </row>
    <row r="279" spans="1:99" ht="16.399999999999999" customHeight="1" x14ac:dyDescent="0.35">
      <c r="A279" s="145" t="str">
        <f t="shared" si="112"/>
        <v/>
      </c>
      <c r="B279" s="145" t="str">
        <f>_xlfn.IFNA(_xlfn.CONCAT(INDEX(Producer!$P:$P,MATCH($D279,Producer!$A:$A,0))," ",IF(INDEX(Producer!$N:$N,MATCH($D279,Producer!$A:$A,0))="Yes","Green ",""),IF(AND(INDEX(Producer!$L:$L,MATCH($D279,Producer!$A:$A,0))="No",INDEX(Producer!$C:$C,MATCH($D279,Producer!$A:$A,0))="Fixed"),"Flexit ",""),INDEX(Producer!$B:$B,MATCH($D279,Producer!$A:$A,0))," Year ",INDEX(Producer!$C:$C,MATCH($D279,Producer!$A:$A,0))," ",VALUE(INDEX(Producer!$E:$E,MATCH($D279,Producer!$A:$A,0)))*100,"% LTV",IF(INDEX(Producer!$N:$N,MATCH($D279,Producer!$A:$A,0))="Yes"," (EPC A-C)","")," - ",IF(INDEX(Producer!$D:$D,MATCH($D279,Producer!$A:$A,0))="DLY","Daily","Annual")),"")</f>
        <v/>
      </c>
      <c r="C279" s="146" t="str">
        <f>_xlfn.IFNA(INDEX(Producer!$Q:$Q,MATCH($D279,Producer!$A:$A,0)),"")</f>
        <v/>
      </c>
      <c r="D279" s="146" t="str">
        <f>IFERROR(VALUE(MID(Producer!$R$2,IF($D278="",1/0,FIND(_xlfn.CONCAT($D277,$D278),Producer!$R$2)+10),5)),"")</f>
        <v/>
      </c>
      <c r="E279" s="146" t="str">
        <f t="shared" si="113"/>
        <v/>
      </c>
      <c r="F279" s="146"/>
      <c r="G279" s="147" t="str">
        <f>_xlfn.IFNA(VALUE(INDEX(Producer!$F:$F,MATCH($D279,Producer!$A:$A,0)))*100,"")</f>
        <v/>
      </c>
      <c r="H279" s="216" t="str">
        <f>_xlfn.IFNA(IFERROR(DATEVALUE(INDEX(Producer!$M:$M,MATCH($D279,Producer!$A:$A,0))),(INDEX(Producer!$M:$M,MATCH($D279,Producer!$A:$A,0)))),"")</f>
        <v/>
      </c>
      <c r="I279" s="217" t="str">
        <f>_xlfn.IFNA(VALUE(INDEX(Producer!$B:$B,MATCH($D279,Producer!$A:$A,0)))*12,"")</f>
        <v/>
      </c>
      <c r="J279" s="146" t="str">
        <f>_xlfn.IFNA(IF(C279="Residential",IF(VALUE(INDEX(Producer!$B:$B,MATCH($D279,Producer!$A:$A,0)))&lt;5,Constants!$C$10,""),IF(VALUE(INDEX(Producer!$B:$B,MATCH($D279,Producer!$A:$A,0)))&lt;5,Constants!$C$11,"")),"")</f>
        <v/>
      </c>
      <c r="K279" s="216" t="str">
        <f>_xlfn.IFNA(IF(($I279)&lt;60,DATE(YEAR(H279)+(5-VALUE(INDEX(Producer!$B:$B,MATCH($D279,Producer!$A:$A,0)))),MONTH(H279),DAY(H279)),""),"")</f>
        <v/>
      </c>
      <c r="L279" s="153" t="str">
        <f t="shared" si="114"/>
        <v/>
      </c>
      <c r="M279" s="146"/>
      <c r="N279" s="148"/>
      <c r="O279" s="148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46"/>
      <c r="AB279" s="146"/>
      <c r="AC279" s="146"/>
      <c r="AD279" s="146"/>
      <c r="AE279" s="146"/>
      <c r="AF279" s="146"/>
      <c r="AG279" s="146"/>
      <c r="AH279" s="146"/>
      <c r="AI279" s="146"/>
      <c r="AJ279" s="146"/>
      <c r="AK279" s="146" t="str">
        <f>IF(D279="","",IF(C279="Residential",Constants!$B$10,Constants!$B$11))</f>
        <v/>
      </c>
      <c r="AL279" s="146" t="str">
        <f t="shared" si="115"/>
        <v/>
      </c>
      <c r="AM279" s="206" t="str">
        <f t="shared" si="116"/>
        <v/>
      </c>
      <c r="AN279" s="146" t="str">
        <f t="shared" si="117"/>
        <v/>
      </c>
      <c r="AO279" s="149" t="str">
        <f t="shared" si="118"/>
        <v/>
      </c>
      <c r="AP279" s="150" t="str">
        <f t="shared" si="119"/>
        <v/>
      </c>
      <c r="AQ279" s="146" t="str">
        <f>IFERROR(_xlfn.IFNA(IF($BA279="No",0,IF(INDEX(Constants!B:B,MATCH(($I279/12),Constants!$A:$A,0))=0,0,INDEX(Constants!B:B,MATCH(($I279/12),Constants!$A:$A,0)))),0),"")</f>
        <v/>
      </c>
      <c r="AR279" s="146" t="str">
        <f>IFERROR(_xlfn.IFNA(IF($BA279="No",0,IF(INDEX(Constants!C:C,MATCH(($I279/12),Constants!$A:$A,0))=0,0,INDEX(Constants!C:C,MATCH(($I279/12),Constants!$A:$A,0)))),0),"")</f>
        <v/>
      </c>
      <c r="AS279" s="146" t="str">
        <f>IFERROR(_xlfn.IFNA(IF($BA279="No",0,IF(INDEX(Constants!D:D,MATCH(($I279/12),Constants!$A:$A,0))=0,0,INDEX(Constants!D:D,MATCH(($I279/12),Constants!$A:$A,0)))),0),"")</f>
        <v/>
      </c>
      <c r="AT279" s="146" t="str">
        <f>IFERROR(_xlfn.IFNA(IF($BA279="No",0,IF(INDEX(Constants!E:E,MATCH(($I279/12),Constants!$A:$A,0))=0,0,INDEX(Constants!E:E,MATCH(($I279/12),Constants!$A:$A,0)))),0),"")</f>
        <v/>
      </c>
      <c r="AU279" s="146" t="str">
        <f>IFERROR(_xlfn.IFNA(IF($BA279="No",0,IF(INDEX(Constants!F:F,MATCH(($I279/12),Constants!$A:$A,0))=0,0,INDEX(Constants!F:F,MATCH(($I279/12),Constants!$A:$A,0)))),0),"")</f>
        <v/>
      </c>
      <c r="AV279" s="146" t="str">
        <f>IFERROR(_xlfn.IFNA(IF($BA279="No",0,IF(INDEX(Constants!G:G,MATCH(($I279/12),Constants!$A:$A,0))=0,0,INDEX(Constants!G:G,MATCH(($I279/12),Constants!$A:$A,0)))),0),"")</f>
        <v/>
      </c>
      <c r="AW279" s="146" t="str">
        <f>IFERROR(_xlfn.IFNA(IF($BA279="No",0,IF(INDEX(Constants!H:H,MATCH(($I279/12),Constants!$A:$A,0))=0,0,INDEX(Constants!H:H,MATCH(($I279/12),Constants!$A:$A,0)))),0),"")</f>
        <v/>
      </c>
      <c r="AX279" s="146" t="str">
        <f>IFERROR(_xlfn.IFNA(IF($BA279="No",0,IF(INDEX(Constants!I:I,MATCH(($I279/12),Constants!$A:$A,0))=0,0,INDEX(Constants!I:I,MATCH(($I279/12),Constants!$A:$A,0)))),0),"")</f>
        <v/>
      </c>
      <c r="AY279" s="146" t="str">
        <f>IFERROR(_xlfn.IFNA(IF($BA279="No",0,IF(INDEX(Constants!J:J,MATCH(($I279/12),Constants!$A:$A,0))=0,0,INDEX(Constants!J:J,MATCH(($I279/12),Constants!$A:$A,0)))),0),"")</f>
        <v/>
      </c>
      <c r="AZ279" s="146" t="str">
        <f>IFERROR(_xlfn.IFNA(IF($BA279="No",0,IF(INDEX(Constants!K:K,MATCH(($I279/12),Constants!$A:$A,0))=0,0,INDEX(Constants!K:K,MATCH(($I279/12),Constants!$A:$A,0)))),0),"")</f>
        <v/>
      </c>
      <c r="BA279" s="147" t="str">
        <f>_xlfn.IFNA(INDEX(Producer!$L:$L,MATCH($D279,Producer!$A:$A,0)),"")</f>
        <v/>
      </c>
      <c r="BB279" s="146" t="str">
        <f>IFERROR(IF(AQ279=0,"",IF(($I279/12)=15,_xlfn.CONCAT(Constants!$N$7,TEXT(DATE(YEAR(H279)-(($I279/12)-3),MONTH(H279),DAY(H279)),"dd/mm/yyyy"),", ",Constants!$P$7,TEXT(DATE(YEAR(H279)-(($I279/12)-8),MONTH(H279),DAY(H279)),"dd/mm/yyyy"),", ",Constants!$T$7,TEXT(DATE(YEAR(H279)-(($I279/12)-11),MONTH(H279),DAY(H279)),"dd/mm/yyyy"),", ",Constants!$V$7,TEXT(DATE(YEAR(H279)-(($I279/12)-13),MONTH(H279),DAY(H279)),"dd/mm/yyyy"),", ",Constants!$W$7,TEXT($H279,"dd/mm/yyyy")),IF(($I279/12)=10,_xlfn.CONCAT(Constants!$N$6,TEXT(DATE(YEAR(H279)-(($I279/12)-2),MONTH(H279),DAY(H279)),"dd/mm/yyyy"),", ",Constants!$P$6,TEXT(DATE(YEAR(H279)-(($I279/12)-6),MONTH(H279),DAY(H279)),"dd/mm/yyyy"),", ",Constants!$T$6,TEXT(DATE(YEAR(H279)-(($I279/12)-8),MONTH(H279),DAY(H279)),"dd/mm/yyyy"),", ",Constants!$V$6,TEXT(DATE(YEAR(H279)-(($I279/12)-9),MONTH(H279),DAY(H279)),"dd/mm/yyyy"),", ",Constants!$W$6,TEXT($H279,"dd/mm/yyyy")),IF(($I279/12)=5,_xlfn.CONCAT(Constants!$N$5,TEXT(DATE(YEAR(H279)-(($I279/12)-1),MONTH(H279),DAY(H279)),"dd/mm/yyyy"),", ",Constants!$O$5,TEXT(DATE(YEAR(H279)-(($I279/12)-2),MONTH(H279),DAY(H279)),"dd/mm/yyyy"),", ",Constants!$P$5,TEXT(DATE(YEAR(H279)-(($I279/12)-3),MONTH(H279),DAY(H279)),"dd/mm/yyyy"),", ",Constants!$Q$5,TEXT(DATE(YEAR(H279)-(($I279/12)-4),MONTH(H279),DAY(H279)),"dd/mm/yyyy"),", ",Constants!$R$5,TEXT($H279,"dd/mm/yyyy")),IF(($I279/12)=3,_xlfn.CONCAT(Constants!$N$4,TEXT(DATE(YEAR(H279)-(($I279/12)-1),MONTH(H279),DAY(H279)),"dd/mm/yyyy"),", ",Constants!$O$4,TEXT(DATE(YEAR(H279)-(($I279/12)-2),MONTH(H279),DAY(H279)),"dd/mm/yyyy"),", ",Constants!$P$4,TEXT($H279,"dd/mm/yyyy")),IF(($I279/12)=2,_xlfn.CONCAT(Constants!$N$3,TEXT(DATE(YEAR(H279)-(($I279/12)-1),MONTH(H279),DAY(H279)),"dd/mm/yyyy"),", ",Constants!$O$3,TEXT($H279,"dd/mm/yyyy")),IF(($I279/12)=1,_xlfn.CONCAT(Constants!$N$2,TEXT($H279,"dd/mm/yyyy")),"Update Constants"))))))),"")</f>
        <v/>
      </c>
      <c r="BC279" s="147" t="str">
        <f>_xlfn.IFNA(VALUE(INDEX(Producer!$K:$K,MATCH($D279,Producer!$A:$A,0))),"")</f>
        <v/>
      </c>
      <c r="BD279" s="147" t="str">
        <f>_xlfn.IFNA(INDEX(Producer!$I:$I,MATCH($D279,Producer!$A:$A,0)),"")</f>
        <v/>
      </c>
      <c r="BE279" s="147" t="str">
        <f t="shared" si="120"/>
        <v/>
      </c>
      <c r="BF279" s="147"/>
      <c r="BG279" s="147"/>
      <c r="BH279" s="151" t="str">
        <f>_xlfn.IFNA(INDEX(Constants!$B:$B,MATCH(BC279,Constants!A:A,0)),"")</f>
        <v/>
      </c>
      <c r="BI279" s="147" t="str">
        <f>IF(LEFT(B279,15)="Limited Company",Constants!$D$16,IFERROR(_xlfn.IFNA(IF(C279="Residential",IF(BK279&lt;75,INDEX(Constants!$B:$B,MATCH(VALUE(60)/100,Constants!$A:$A,0)),INDEX(Constants!$B:$B,MATCH(VALUE(BK279)/100,Constants!$A:$A,0))),IF(BK279&lt;60,INDEX(Constants!$C:$C,MATCH(VALUE(60)/100,Constants!$A:$A,0)),INDEX(Constants!$C:$C,MATCH(VALUE(BK279)/100,Constants!$A:$A,0)))),""),""))</f>
        <v/>
      </c>
      <c r="BJ279" s="147" t="str">
        <f t="shared" si="121"/>
        <v/>
      </c>
      <c r="BK279" s="147" t="str">
        <f>_xlfn.IFNA(VALUE(INDEX(Producer!$E:$E,MATCH($D279,Producer!$A:$A,0)))*100,"")</f>
        <v/>
      </c>
      <c r="BL279" s="146" t="str">
        <f>_xlfn.IFNA(IF(IFERROR(FIND("Part &amp; Part",B279),-10)&gt;0,"PP",IF(OR(LEFT(B279,25)="Residential Interest Only",INDEX(Producer!$P:$P,MATCH($D279,Producer!$A:$A,0))="IO",INDEX(Producer!$P:$P,MATCH($D279,Producer!$A:$A,0))="Retirement Interest Only"),"IO",IF($C279="BuyToLet","CI, IO","CI"))),"")</f>
        <v/>
      </c>
      <c r="BM279" s="152" t="str">
        <f>_xlfn.IFNA(IF(BL279="IO",100%,IF(AND(INDEX(Producer!$P:$P,MATCH($D279,Producer!$A:$A,0))="Residential Interest Only Part &amp; Part",BK279=75),80%,IF(C279="BuyToLet",100%,IF(BL279="Interest Only",100%,IF(AND(INDEX(Producer!$P:$P,MATCH($D279,Producer!$A:$A,0))="Residential Interest Only Part &amp; Part",BK279=60),100%,""))))),"")</f>
        <v/>
      </c>
      <c r="BN279" s="218" t="str">
        <f>_xlfn.IFNA(IF(VALUE(INDEX(Producer!$H:$H,MATCH($D279,Producer!$A:$A,0)))=0,"",VALUE(INDEX(Producer!$H:$H,MATCH($D279,Producer!$A:$A,0)))),"")</f>
        <v/>
      </c>
      <c r="BO279" s="153"/>
      <c r="BP279" s="153"/>
      <c r="BQ279" s="219" t="str">
        <f t="shared" si="122"/>
        <v/>
      </c>
      <c r="BR279" s="146"/>
      <c r="BS279" s="146"/>
      <c r="BT279" s="146"/>
      <c r="BU279" s="146"/>
      <c r="BV279" s="219" t="str">
        <f t="shared" si="123"/>
        <v/>
      </c>
      <c r="BW279" s="146"/>
      <c r="BX279" s="146"/>
      <c r="BY279" s="146" t="str">
        <f t="shared" si="124"/>
        <v/>
      </c>
      <c r="BZ279" s="146" t="str">
        <f t="shared" si="125"/>
        <v/>
      </c>
      <c r="CA279" s="146" t="str">
        <f t="shared" si="126"/>
        <v/>
      </c>
      <c r="CB279" s="146" t="str">
        <f t="shared" si="127"/>
        <v/>
      </c>
      <c r="CC279" s="146" t="str">
        <f>_xlfn.IFNA(IF(INDEX(Producer!$P:$P,MATCH($D279,Producer!$A:$A,0))="Help to Buy","Only available","No"),"")</f>
        <v/>
      </c>
      <c r="CD279" s="146" t="str">
        <f>_xlfn.IFNA(IF(INDEX(Producer!$P:$P,MATCH($D279,Producer!$A:$A,0))="Shared Ownership","Only available","No"),"")</f>
        <v/>
      </c>
      <c r="CE279" s="146" t="str">
        <f>_xlfn.IFNA(IF(INDEX(Producer!$P:$P,MATCH($D279,Producer!$A:$A,0))="Right to Buy","Only available","No"),"")</f>
        <v/>
      </c>
      <c r="CF279" s="146" t="str">
        <f t="shared" si="128"/>
        <v/>
      </c>
      <c r="CG279" s="146" t="str">
        <f>_xlfn.IFNA(IF(INDEX(Producer!$P:$P,MATCH($D279,Producer!$A:$A,0))="Retirement Interest Only","Only available","No"),"")</f>
        <v/>
      </c>
      <c r="CH279" s="146" t="str">
        <f t="shared" si="129"/>
        <v/>
      </c>
      <c r="CI279" s="146" t="str">
        <f>_xlfn.IFNA(IF(INDEX(Producer!$P:$P,MATCH($D279,Producer!$A:$A,0))="Intermediary Holiday Let","Only available","No"),"")</f>
        <v/>
      </c>
      <c r="CJ279" s="146" t="str">
        <f t="shared" si="130"/>
        <v/>
      </c>
      <c r="CK279" s="146" t="str">
        <f>_xlfn.IFNA(IF(OR(INDEX(Producer!$P:$P,MATCH($D279,Producer!$A:$A,0))="Intermediary Small HMO",INDEX(Producer!$P:$P,MATCH($D279,Producer!$A:$A,0))="Intermediary Large HMO"),"Only available","No"),"")</f>
        <v/>
      </c>
      <c r="CL279" s="146" t="str">
        <f t="shared" si="131"/>
        <v/>
      </c>
      <c r="CM279" s="146" t="str">
        <f t="shared" si="132"/>
        <v/>
      </c>
      <c r="CN279" s="146" t="str">
        <f t="shared" si="133"/>
        <v/>
      </c>
      <c r="CO279" s="146" t="str">
        <f t="shared" si="134"/>
        <v/>
      </c>
      <c r="CP279" s="146" t="str">
        <f t="shared" si="135"/>
        <v/>
      </c>
      <c r="CQ279" s="146" t="str">
        <f t="shared" si="136"/>
        <v/>
      </c>
      <c r="CR279" s="146" t="str">
        <f t="shared" si="137"/>
        <v/>
      </c>
      <c r="CS279" s="146" t="str">
        <f t="shared" si="138"/>
        <v/>
      </c>
      <c r="CT279" s="146" t="str">
        <f t="shared" si="139"/>
        <v/>
      </c>
      <c r="CU279" s="146"/>
    </row>
    <row r="280" spans="1:99" ht="16.399999999999999" customHeight="1" x14ac:dyDescent="0.35">
      <c r="A280" s="145" t="str">
        <f t="shared" si="112"/>
        <v/>
      </c>
      <c r="B280" s="145" t="str">
        <f>_xlfn.IFNA(_xlfn.CONCAT(INDEX(Producer!$P:$P,MATCH($D280,Producer!$A:$A,0))," ",IF(INDEX(Producer!$N:$N,MATCH($D280,Producer!$A:$A,0))="Yes","Green ",""),IF(AND(INDEX(Producer!$L:$L,MATCH($D280,Producer!$A:$A,0))="No",INDEX(Producer!$C:$C,MATCH($D280,Producer!$A:$A,0))="Fixed"),"Flexit ",""),INDEX(Producer!$B:$B,MATCH($D280,Producer!$A:$A,0))," Year ",INDEX(Producer!$C:$C,MATCH($D280,Producer!$A:$A,0))," ",VALUE(INDEX(Producer!$E:$E,MATCH($D280,Producer!$A:$A,0)))*100,"% LTV",IF(INDEX(Producer!$N:$N,MATCH($D280,Producer!$A:$A,0))="Yes"," (EPC A-C)","")," - ",IF(INDEX(Producer!$D:$D,MATCH($D280,Producer!$A:$A,0))="DLY","Daily","Annual")),"")</f>
        <v/>
      </c>
      <c r="C280" s="146" t="str">
        <f>_xlfn.IFNA(INDEX(Producer!$Q:$Q,MATCH($D280,Producer!$A:$A,0)),"")</f>
        <v/>
      </c>
      <c r="D280" s="146" t="str">
        <f>IFERROR(VALUE(MID(Producer!$R$2,IF($D279="",1/0,FIND(_xlfn.CONCAT($D278,$D279),Producer!$R$2)+10),5)),"")</f>
        <v/>
      </c>
      <c r="E280" s="146" t="str">
        <f t="shared" si="113"/>
        <v/>
      </c>
      <c r="F280" s="146"/>
      <c r="G280" s="147" t="str">
        <f>_xlfn.IFNA(VALUE(INDEX(Producer!$F:$F,MATCH($D280,Producer!$A:$A,0)))*100,"")</f>
        <v/>
      </c>
      <c r="H280" s="216" t="str">
        <f>_xlfn.IFNA(IFERROR(DATEVALUE(INDEX(Producer!$M:$M,MATCH($D280,Producer!$A:$A,0))),(INDEX(Producer!$M:$M,MATCH($D280,Producer!$A:$A,0)))),"")</f>
        <v/>
      </c>
      <c r="I280" s="217" t="str">
        <f>_xlfn.IFNA(VALUE(INDEX(Producer!$B:$B,MATCH($D280,Producer!$A:$A,0)))*12,"")</f>
        <v/>
      </c>
      <c r="J280" s="146" t="str">
        <f>_xlfn.IFNA(IF(C280="Residential",IF(VALUE(INDEX(Producer!$B:$B,MATCH($D280,Producer!$A:$A,0)))&lt;5,Constants!$C$10,""),IF(VALUE(INDEX(Producer!$B:$B,MATCH($D280,Producer!$A:$A,0)))&lt;5,Constants!$C$11,"")),"")</f>
        <v/>
      </c>
      <c r="K280" s="216" t="str">
        <f>_xlfn.IFNA(IF(($I280)&lt;60,DATE(YEAR(H280)+(5-VALUE(INDEX(Producer!$B:$B,MATCH($D280,Producer!$A:$A,0)))),MONTH(H280),DAY(H280)),""),"")</f>
        <v/>
      </c>
      <c r="L280" s="153" t="str">
        <f t="shared" si="114"/>
        <v/>
      </c>
      <c r="M280" s="146"/>
      <c r="N280" s="148"/>
      <c r="O280" s="148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46"/>
      <c r="AB280" s="146"/>
      <c r="AC280" s="146"/>
      <c r="AD280" s="146"/>
      <c r="AE280" s="146"/>
      <c r="AF280" s="146"/>
      <c r="AG280" s="146"/>
      <c r="AH280" s="146"/>
      <c r="AI280" s="146"/>
      <c r="AJ280" s="146"/>
      <c r="AK280" s="146" t="str">
        <f>IF(D280="","",IF(C280="Residential",Constants!$B$10,Constants!$B$11))</f>
        <v/>
      </c>
      <c r="AL280" s="146" t="str">
        <f t="shared" si="115"/>
        <v/>
      </c>
      <c r="AM280" s="206" t="str">
        <f t="shared" si="116"/>
        <v/>
      </c>
      <c r="AN280" s="146" t="str">
        <f t="shared" si="117"/>
        <v/>
      </c>
      <c r="AO280" s="149" t="str">
        <f t="shared" si="118"/>
        <v/>
      </c>
      <c r="AP280" s="150" t="str">
        <f t="shared" si="119"/>
        <v/>
      </c>
      <c r="AQ280" s="146" t="str">
        <f>IFERROR(_xlfn.IFNA(IF($BA280="No",0,IF(INDEX(Constants!B:B,MATCH(($I280/12),Constants!$A:$A,0))=0,0,INDEX(Constants!B:B,MATCH(($I280/12),Constants!$A:$A,0)))),0),"")</f>
        <v/>
      </c>
      <c r="AR280" s="146" t="str">
        <f>IFERROR(_xlfn.IFNA(IF($BA280="No",0,IF(INDEX(Constants!C:C,MATCH(($I280/12),Constants!$A:$A,0))=0,0,INDEX(Constants!C:C,MATCH(($I280/12),Constants!$A:$A,0)))),0),"")</f>
        <v/>
      </c>
      <c r="AS280" s="146" t="str">
        <f>IFERROR(_xlfn.IFNA(IF($BA280="No",0,IF(INDEX(Constants!D:D,MATCH(($I280/12),Constants!$A:$A,0))=0,0,INDEX(Constants!D:D,MATCH(($I280/12),Constants!$A:$A,0)))),0),"")</f>
        <v/>
      </c>
      <c r="AT280" s="146" t="str">
        <f>IFERROR(_xlfn.IFNA(IF($BA280="No",0,IF(INDEX(Constants!E:E,MATCH(($I280/12),Constants!$A:$A,0))=0,0,INDEX(Constants!E:E,MATCH(($I280/12),Constants!$A:$A,0)))),0),"")</f>
        <v/>
      </c>
      <c r="AU280" s="146" t="str">
        <f>IFERROR(_xlfn.IFNA(IF($BA280="No",0,IF(INDEX(Constants!F:F,MATCH(($I280/12),Constants!$A:$A,0))=0,0,INDEX(Constants!F:F,MATCH(($I280/12),Constants!$A:$A,0)))),0),"")</f>
        <v/>
      </c>
      <c r="AV280" s="146" t="str">
        <f>IFERROR(_xlfn.IFNA(IF($BA280="No",0,IF(INDEX(Constants!G:G,MATCH(($I280/12),Constants!$A:$A,0))=0,0,INDEX(Constants!G:G,MATCH(($I280/12),Constants!$A:$A,0)))),0),"")</f>
        <v/>
      </c>
      <c r="AW280" s="146" t="str">
        <f>IFERROR(_xlfn.IFNA(IF($BA280="No",0,IF(INDEX(Constants!H:H,MATCH(($I280/12),Constants!$A:$A,0))=0,0,INDEX(Constants!H:H,MATCH(($I280/12),Constants!$A:$A,0)))),0),"")</f>
        <v/>
      </c>
      <c r="AX280" s="146" t="str">
        <f>IFERROR(_xlfn.IFNA(IF($BA280="No",0,IF(INDEX(Constants!I:I,MATCH(($I280/12),Constants!$A:$A,0))=0,0,INDEX(Constants!I:I,MATCH(($I280/12),Constants!$A:$A,0)))),0),"")</f>
        <v/>
      </c>
      <c r="AY280" s="146" t="str">
        <f>IFERROR(_xlfn.IFNA(IF($BA280="No",0,IF(INDEX(Constants!J:J,MATCH(($I280/12),Constants!$A:$A,0))=0,0,INDEX(Constants!J:J,MATCH(($I280/12),Constants!$A:$A,0)))),0),"")</f>
        <v/>
      </c>
      <c r="AZ280" s="146" t="str">
        <f>IFERROR(_xlfn.IFNA(IF($BA280="No",0,IF(INDEX(Constants!K:K,MATCH(($I280/12),Constants!$A:$A,0))=0,0,INDEX(Constants!K:K,MATCH(($I280/12),Constants!$A:$A,0)))),0),"")</f>
        <v/>
      </c>
      <c r="BA280" s="147" t="str">
        <f>_xlfn.IFNA(INDEX(Producer!$L:$L,MATCH($D280,Producer!$A:$A,0)),"")</f>
        <v/>
      </c>
      <c r="BB280" s="146" t="str">
        <f>IFERROR(IF(AQ280=0,"",IF(($I280/12)=15,_xlfn.CONCAT(Constants!$N$7,TEXT(DATE(YEAR(H280)-(($I280/12)-3),MONTH(H280),DAY(H280)),"dd/mm/yyyy"),", ",Constants!$P$7,TEXT(DATE(YEAR(H280)-(($I280/12)-8),MONTH(H280),DAY(H280)),"dd/mm/yyyy"),", ",Constants!$T$7,TEXT(DATE(YEAR(H280)-(($I280/12)-11),MONTH(H280),DAY(H280)),"dd/mm/yyyy"),", ",Constants!$V$7,TEXT(DATE(YEAR(H280)-(($I280/12)-13),MONTH(H280),DAY(H280)),"dd/mm/yyyy"),", ",Constants!$W$7,TEXT($H280,"dd/mm/yyyy")),IF(($I280/12)=10,_xlfn.CONCAT(Constants!$N$6,TEXT(DATE(YEAR(H280)-(($I280/12)-2),MONTH(H280),DAY(H280)),"dd/mm/yyyy"),", ",Constants!$P$6,TEXT(DATE(YEAR(H280)-(($I280/12)-6),MONTH(H280),DAY(H280)),"dd/mm/yyyy"),", ",Constants!$T$6,TEXT(DATE(YEAR(H280)-(($I280/12)-8),MONTH(H280),DAY(H280)),"dd/mm/yyyy"),", ",Constants!$V$6,TEXT(DATE(YEAR(H280)-(($I280/12)-9),MONTH(H280),DAY(H280)),"dd/mm/yyyy"),", ",Constants!$W$6,TEXT($H280,"dd/mm/yyyy")),IF(($I280/12)=5,_xlfn.CONCAT(Constants!$N$5,TEXT(DATE(YEAR(H280)-(($I280/12)-1),MONTH(H280),DAY(H280)),"dd/mm/yyyy"),", ",Constants!$O$5,TEXT(DATE(YEAR(H280)-(($I280/12)-2),MONTH(H280),DAY(H280)),"dd/mm/yyyy"),", ",Constants!$P$5,TEXT(DATE(YEAR(H280)-(($I280/12)-3),MONTH(H280),DAY(H280)),"dd/mm/yyyy"),", ",Constants!$Q$5,TEXT(DATE(YEAR(H280)-(($I280/12)-4),MONTH(H280),DAY(H280)),"dd/mm/yyyy"),", ",Constants!$R$5,TEXT($H280,"dd/mm/yyyy")),IF(($I280/12)=3,_xlfn.CONCAT(Constants!$N$4,TEXT(DATE(YEAR(H280)-(($I280/12)-1),MONTH(H280),DAY(H280)),"dd/mm/yyyy"),", ",Constants!$O$4,TEXT(DATE(YEAR(H280)-(($I280/12)-2),MONTH(H280),DAY(H280)),"dd/mm/yyyy"),", ",Constants!$P$4,TEXT($H280,"dd/mm/yyyy")),IF(($I280/12)=2,_xlfn.CONCAT(Constants!$N$3,TEXT(DATE(YEAR(H280)-(($I280/12)-1),MONTH(H280),DAY(H280)),"dd/mm/yyyy"),", ",Constants!$O$3,TEXT($H280,"dd/mm/yyyy")),IF(($I280/12)=1,_xlfn.CONCAT(Constants!$N$2,TEXT($H280,"dd/mm/yyyy")),"Update Constants"))))))),"")</f>
        <v/>
      </c>
      <c r="BC280" s="147" t="str">
        <f>_xlfn.IFNA(VALUE(INDEX(Producer!$K:$K,MATCH($D280,Producer!$A:$A,0))),"")</f>
        <v/>
      </c>
      <c r="BD280" s="147" t="str">
        <f>_xlfn.IFNA(INDEX(Producer!$I:$I,MATCH($D280,Producer!$A:$A,0)),"")</f>
        <v/>
      </c>
      <c r="BE280" s="147" t="str">
        <f t="shared" si="120"/>
        <v/>
      </c>
      <c r="BF280" s="147"/>
      <c r="BG280" s="147"/>
      <c r="BH280" s="151" t="str">
        <f>_xlfn.IFNA(INDEX(Constants!$B:$B,MATCH(BC280,Constants!A:A,0)),"")</f>
        <v/>
      </c>
      <c r="BI280" s="147" t="str">
        <f>IF(LEFT(B280,15)="Limited Company",Constants!$D$16,IFERROR(_xlfn.IFNA(IF(C280="Residential",IF(BK280&lt;75,INDEX(Constants!$B:$B,MATCH(VALUE(60)/100,Constants!$A:$A,0)),INDEX(Constants!$B:$B,MATCH(VALUE(BK280)/100,Constants!$A:$A,0))),IF(BK280&lt;60,INDEX(Constants!$C:$C,MATCH(VALUE(60)/100,Constants!$A:$A,0)),INDEX(Constants!$C:$C,MATCH(VALUE(BK280)/100,Constants!$A:$A,0)))),""),""))</f>
        <v/>
      </c>
      <c r="BJ280" s="147" t="str">
        <f t="shared" si="121"/>
        <v/>
      </c>
      <c r="BK280" s="147" t="str">
        <f>_xlfn.IFNA(VALUE(INDEX(Producer!$E:$E,MATCH($D280,Producer!$A:$A,0)))*100,"")</f>
        <v/>
      </c>
      <c r="BL280" s="146" t="str">
        <f>_xlfn.IFNA(IF(IFERROR(FIND("Part &amp; Part",B280),-10)&gt;0,"PP",IF(OR(LEFT(B280,25)="Residential Interest Only",INDEX(Producer!$P:$P,MATCH($D280,Producer!$A:$A,0))="IO",INDEX(Producer!$P:$P,MATCH($D280,Producer!$A:$A,0))="Retirement Interest Only"),"IO",IF($C280="BuyToLet","CI, IO","CI"))),"")</f>
        <v/>
      </c>
      <c r="BM280" s="152" t="str">
        <f>_xlfn.IFNA(IF(BL280="IO",100%,IF(AND(INDEX(Producer!$P:$P,MATCH($D280,Producer!$A:$A,0))="Residential Interest Only Part &amp; Part",BK280=75),80%,IF(C280="BuyToLet",100%,IF(BL280="Interest Only",100%,IF(AND(INDEX(Producer!$P:$P,MATCH($D280,Producer!$A:$A,0))="Residential Interest Only Part &amp; Part",BK280=60),100%,""))))),"")</f>
        <v/>
      </c>
      <c r="BN280" s="218" t="str">
        <f>_xlfn.IFNA(IF(VALUE(INDEX(Producer!$H:$H,MATCH($D280,Producer!$A:$A,0)))=0,"",VALUE(INDEX(Producer!$H:$H,MATCH($D280,Producer!$A:$A,0)))),"")</f>
        <v/>
      </c>
      <c r="BO280" s="153"/>
      <c r="BP280" s="153"/>
      <c r="BQ280" s="219" t="str">
        <f t="shared" si="122"/>
        <v/>
      </c>
      <c r="BR280" s="146"/>
      <c r="BS280" s="146"/>
      <c r="BT280" s="146"/>
      <c r="BU280" s="146"/>
      <c r="BV280" s="219" t="str">
        <f t="shared" si="123"/>
        <v/>
      </c>
      <c r="BW280" s="146"/>
      <c r="BX280" s="146"/>
      <c r="BY280" s="146" t="str">
        <f t="shared" si="124"/>
        <v/>
      </c>
      <c r="BZ280" s="146" t="str">
        <f t="shared" si="125"/>
        <v/>
      </c>
      <c r="CA280" s="146" t="str">
        <f t="shared" si="126"/>
        <v/>
      </c>
      <c r="CB280" s="146" t="str">
        <f t="shared" si="127"/>
        <v/>
      </c>
      <c r="CC280" s="146" t="str">
        <f>_xlfn.IFNA(IF(INDEX(Producer!$P:$P,MATCH($D280,Producer!$A:$A,0))="Help to Buy","Only available","No"),"")</f>
        <v/>
      </c>
      <c r="CD280" s="146" t="str">
        <f>_xlfn.IFNA(IF(INDEX(Producer!$P:$P,MATCH($D280,Producer!$A:$A,0))="Shared Ownership","Only available","No"),"")</f>
        <v/>
      </c>
      <c r="CE280" s="146" t="str">
        <f>_xlfn.IFNA(IF(INDEX(Producer!$P:$P,MATCH($D280,Producer!$A:$A,0))="Right to Buy","Only available","No"),"")</f>
        <v/>
      </c>
      <c r="CF280" s="146" t="str">
        <f t="shared" si="128"/>
        <v/>
      </c>
      <c r="CG280" s="146" t="str">
        <f>_xlfn.IFNA(IF(INDEX(Producer!$P:$P,MATCH($D280,Producer!$A:$A,0))="Retirement Interest Only","Only available","No"),"")</f>
        <v/>
      </c>
      <c r="CH280" s="146" t="str">
        <f t="shared" si="129"/>
        <v/>
      </c>
      <c r="CI280" s="146" t="str">
        <f>_xlfn.IFNA(IF(INDEX(Producer!$P:$P,MATCH($D280,Producer!$A:$A,0))="Intermediary Holiday Let","Only available","No"),"")</f>
        <v/>
      </c>
      <c r="CJ280" s="146" t="str">
        <f t="shared" si="130"/>
        <v/>
      </c>
      <c r="CK280" s="146" t="str">
        <f>_xlfn.IFNA(IF(OR(INDEX(Producer!$P:$P,MATCH($D280,Producer!$A:$A,0))="Intermediary Small HMO",INDEX(Producer!$P:$P,MATCH($D280,Producer!$A:$A,0))="Intermediary Large HMO"),"Only available","No"),"")</f>
        <v/>
      </c>
      <c r="CL280" s="146" t="str">
        <f t="shared" si="131"/>
        <v/>
      </c>
      <c r="CM280" s="146" t="str">
        <f t="shared" si="132"/>
        <v/>
      </c>
      <c r="CN280" s="146" t="str">
        <f t="shared" si="133"/>
        <v/>
      </c>
      <c r="CO280" s="146" t="str">
        <f t="shared" si="134"/>
        <v/>
      </c>
      <c r="CP280" s="146" t="str">
        <f t="shared" si="135"/>
        <v/>
      </c>
      <c r="CQ280" s="146" t="str">
        <f t="shared" si="136"/>
        <v/>
      </c>
      <c r="CR280" s="146" t="str">
        <f t="shared" si="137"/>
        <v/>
      </c>
      <c r="CS280" s="146" t="str">
        <f t="shared" si="138"/>
        <v/>
      </c>
      <c r="CT280" s="146" t="str">
        <f t="shared" si="139"/>
        <v/>
      </c>
      <c r="CU280" s="146"/>
    </row>
    <row r="281" spans="1:99" ht="16.399999999999999" customHeight="1" x14ac:dyDescent="0.35">
      <c r="A281" s="145" t="str">
        <f t="shared" si="112"/>
        <v/>
      </c>
      <c r="B281" s="145" t="str">
        <f>_xlfn.IFNA(_xlfn.CONCAT(INDEX(Producer!$P:$P,MATCH($D281,Producer!$A:$A,0))," ",IF(INDEX(Producer!$N:$N,MATCH($D281,Producer!$A:$A,0))="Yes","Green ",""),IF(AND(INDEX(Producer!$L:$L,MATCH($D281,Producer!$A:$A,0))="No",INDEX(Producer!$C:$C,MATCH($D281,Producer!$A:$A,0))="Fixed"),"Flexit ",""),INDEX(Producer!$B:$B,MATCH($D281,Producer!$A:$A,0))," Year ",INDEX(Producer!$C:$C,MATCH($D281,Producer!$A:$A,0))," ",VALUE(INDEX(Producer!$E:$E,MATCH($D281,Producer!$A:$A,0)))*100,"% LTV",IF(INDEX(Producer!$N:$N,MATCH($D281,Producer!$A:$A,0))="Yes"," (EPC A-C)","")," - ",IF(INDEX(Producer!$D:$D,MATCH($D281,Producer!$A:$A,0))="DLY","Daily","Annual")),"")</f>
        <v/>
      </c>
      <c r="C281" s="146" t="str">
        <f>_xlfn.IFNA(INDEX(Producer!$Q:$Q,MATCH($D281,Producer!$A:$A,0)),"")</f>
        <v/>
      </c>
      <c r="D281" s="146" t="str">
        <f>IFERROR(VALUE(MID(Producer!$R$2,IF($D280="",1/0,FIND(_xlfn.CONCAT($D279,$D280),Producer!$R$2)+10),5)),"")</f>
        <v/>
      </c>
      <c r="E281" s="146" t="str">
        <f t="shared" si="113"/>
        <v/>
      </c>
      <c r="F281" s="146"/>
      <c r="G281" s="147" t="str">
        <f>_xlfn.IFNA(VALUE(INDEX(Producer!$F:$F,MATCH($D281,Producer!$A:$A,0)))*100,"")</f>
        <v/>
      </c>
      <c r="H281" s="216" t="str">
        <f>_xlfn.IFNA(IFERROR(DATEVALUE(INDEX(Producer!$M:$M,MATCH($D281,Producer!$A:$A,0))),(INDEX(Producer!$M:$M,MATCH($D281,Producer!$A:$A,0)))),"")</f>
        <v/>
      </c>
      <c r="I281" s="217" t="str">
        <f>_xlfn.IFNA(VALUE(INDEX(Producer!$B:$B,MATCH($D281,Producer!$A:$A,0)))*12,"")</f>
        <v/>
      </c>
      <c r="J281" s="146" t="str">
        <f>_xlfn.IFNA(IF(C281="Residential",IF(VALUE(INDEX(Producer!$B:$B,MATCH($D281,Producer!$A:$A,0)))&lt;5,Constants!$C$10,""),IF(VALUE(INDEX(Producer!$B:$B,MATCH($D281,Producer!$A:$A,0)))&lt;5,Constants!$C$11,"")),"")</f>
        <v/>
      </c>
      <c r="K281" s="216" t="str">
        <f>_xlfn.IFNA(IF(($I281)&lt;60,DATE(YEAR(H281)+(5-VALUE(INDEX(Producer!$B:$B,MATCH($D281,Producer!$A:$A,0)))),MONTH(H281),DAY(H281)),""),"")</f>
        <v/>
      </c>
      <c r="L281" s="153" t="str">
        <f t="shared" si="114"/>
        <v/>
      </c>
      <c r="M281" s="146"/>
      <c r="N281" s="148"/>
      <c r="O281" s="148"/>
      <c r="P281" s="146"/>
      <c r="Q281" s="146"/>
      <c r="R281" s="146"/>
      <c r="S281" s="146"/>
      <c r="T281" s="146"/>
      <c r="U281" s="146"/>
      <c r="V281" s="146"/>
      <c r="W281" s="146"/>
      <c r="X281" s="146"/>
      <c r="Y281" s="146"/>
      <c r="Z281" s="146"/>
      <c r="AA281" s="146"/>
      <c r="AB281" s="146"/>
      <c r="AC281" s="146"/>
      <c r="AD281" s="146"/>
      <c r="AE281" s="146"/>
      <c r="AF281" s="146"/>
      <c r="AG281" s="146"/>
      <c r="AH281" s="146"/>
      <c r="AI281" s="146"/>
      <c r="AJ281" s="146"/>
      <c r="AK281" s="146" t="str">
        <f>IF(D281="","",IF(C281="Residential",Constants!$B$10,Constants!$B$11))</f>
        <v/>
      </c>
      <c r="AL281" s="146" t="str">
        <f t="shared" si="115"/>
        <v/>
      </c>
      <c r="AM281" s="206" t="str">
        <f t="shared" si="116"/>
        <v/>
      </c>
      <c r="AN281" s="146" t="str">
        <f t="shared" si="117"/>
        <v/>
      </c>
      <c r="AO281" s="149" t="str">
        <f t="shared" si="118"/>
        <v/>
      </c>
      <c r="AP281" s="150" t="str">
        <f t="shared" si="119"/>
        <v/>
      </c>
      <c r="AQ281" s="146" t="str">
        <f>IFERROR(_xlfn.IFNA(IF($BA281="No",0,IF(INDEX(Constants!B:B,MATCH(($I281/12),Constants!$A:$A,0))=0,0,INDEX(Constants!B:B,MATCH(($I281/12),Constants!$A:$A,0)))),0),"")</f>
        <v/>
      </c>
      <c r="AR281" s="146" t="str">
        <f>IFERROR(_xlfn.IFNA(IF($BA281="No",0,IF(INDEX(Constants!C:C,MATCH(($I281/12),Constants!$A:$A,0))=0,0,INDEX(Constants!C:C,MATCH(($I281/12),Constants!$A:$A,0)))),0),"")</f>
        <v/>
      </c>
      <c r="AS281" s="146" t="str">
        <f>IFERROR(_xlfn.IFNA(IF($BA281="No",0,IF(INDEX(Constants!D:D,MATCH(($I281/12),Constants!$A:$A,0))=0,0,INDEX(Constants!D:D,MATCH(($I281/12),Constants!$A:$A,0)))),0),"")</f>
        <v/>
      </c>
      <c r="AT281" s="146" t="str">
        <f>IFERROR(_xlfn.IFNA(IF($BA281="No",0,IF(INDEX(Constants!E:E,MATCH(($I281/12),Constants!$A:$A,0))=0,0,INDEX(Constants!E:E,MATCH(($I281/12),Constants!$A:$A,0)))),0),"")</f>
        <v/>
      </c>
      <c r="AU281" s="146" t="str">
        <f>IFERROR(_xlfn.IFNA(IF($BA281="No",0,IF(INDEX(Constants!F:F,MATCH(($I281/12),Constants!$A:$A,0))=0,0,INDEX(Constants!F:F,MATCH(($I281/12),Constants!$A:$A,0)))),0),"")</f>
        <v/>
      </c>
      <c r="AV281" s="146" t="str">
        <f>IFERROR(_xlfn.IFNA(IF($BA281="No",0,IF(INDEX(Constants!G:G,MATCH(($I281/12),Constants!$A:$A,0))=0,0,INDEX(Constants!G:G,MATCH(($I281/12),Constants!$A:$A,0)))),0),"")</f>
        <v/>
      </c>
      <c r="AW281" s="146" t="str">
        <f>IFERROR(_xlfn.IFNA(IF($BA281="No",0,IF(INDEX(Constants!H:H,MATCH(($I281/12),Constants!$A:$A,0))=0,0,INDEX(Constants!H:H,MATCH(($I281/12),Constants!$A:$A,0)))),0),"")</f>
        <v/>
      </c>
      <c r="AX281" s="146" t="str">
        <f>IFERROR(_xlfn.IFNA(IF($BA281="No",0,IF(INDEX(Constants!I:I,MATCH(($I281/12),Constants!$A:$A,0))=0,0,INDEX(Constants!I:I,MATCH(($I281/12),Constants!$A:$A,0)))),0),"")</f>
        <v/>
      </c>
      <c r="AY281" s="146" t="str">
        <f>IFERROR(_xlfn.IFNA(IF($BA281="No",0,IF(INDEX(Constants!J:J,MATCH(($I281/12),Constants!$A:$A,0))=0,0,INDEX(Constants!J:J,MATCH(($I281/12),Constants!$A:$A,0)))),0),"")</f>
        <v/>
      </c>
      <c r="AZ281" s="146" t="str">
        <f>IFERROR(_xlfn.IFNA(IF($BA281="No",0,IF(INDEX(Constants!K:K,MATCH(($I281/12),Constants!$A:$A,0))=0,0,INDEX(Constants!K:K,MATCH(($I281/12),Constants!$A:$A,0)))),0),"")</f>
        <v/>
      </c>
      <c r="BA281" s="147" t="str">
        <f>_xlfn.IFNA(INDEX(Producer!$L:$L,MATCH($D281,Producer!$A:$A,0)),"")</f>
        <v/>
      </c>
      <c r="BB281" s="146" t="str">
        <f>IFERROR(IF(AQ281=0,"",IF(($I281/12)=15,_xlfn.CONCAT(Constants!$N$7,TEXT(DATE(YEAR(H281)-(($I281/12)-3),MONTH(H281),DAY(H281)),"dd/mm/yyyy"),", ",Constants!$P$7,TEXT(DATE(YEAR(H281)-(($I281/12)-8),MONTH(H281),DAY(H281)),"dd/mm/yyyy"),", ",Constants!$T$7,TEXT(DATE(YEAR(H281)-(($I281/12)-11),MONTH(H281),DAY(H281)),"dd/mm/yyyy"),", ",Constants!$V$7,TEXT(DATE(YEAR(H281)-(($I281/12)-13),MONTH(H281),DAY(H281)),"dd/mm/yyyy"),", ",Constants!$W$7,TEXT($H281,"dd/mm/yyyy")),IF(($I281/12)=10,_xlfn.CONCAT(Constants!$N$6,TEXT(DATE(YEAR(H281)-(($I281/12)-2),MONTH(H281),DAY(H281)),"dd/mm/yyyy"),", ",Constants!$P$6,TEXT(DATE(YEAR(H281)-(($I281/12)-6),MONTH(H281),DAY(H281)),"dd/mm/yyyy"),", ",Constants!$T$6,TEXT(DATE(YEAR(H281)-(($I281/12)-8),MONTH(H281),DAY(H281)),"dd/mm/yyyy"),", ",Constants!$V$6,TEXT(DATE(YEAR(H281)-(($I281/12)-9),MONTH(H281),DAY(H281)),"dd/mm/yyyy"),", ",Constants!$W$6,TEXT($H281,"dd/mm/yyyy")),IF(($I281/12)=5,_xlfn.CONCAT(Constants!$N$5,TEXT(DATE(YEAR(H281)-(($I281/12)-1),MONTH(H281),DAY(H281)),"dd/mm/yyyy"),", ",Constants!$O$5,TEXT(DATE(YEAR(H281)-(($I281/12)-2),MONTH(H281),DAY(H281)),"dd/mm/yyyy"),", ",Constants!$P$5,TEXT(DATE(YEAR(H281)-(($I281/12)-3),MONTH(H281),DAY(H281)),"dd/mm/yyyy"),", ",Constants!$Q$5,TEXT(DATE(YEAR(H281)-(($I281/12)-4),MONTH(H281),DAY(H281)),"dd/mm/yyyy"),", ",Constants!$R$5,TEXT($H281,"dd/mm/yyyy")),IF(($I281/12)=3,_xlfn.CONCAT(Constants!$N$4,TEXT(DATE(YEAR(H281)-(($I281/12)-1),MONTH(H281),DAY(H281)),"dd/mm/yyyy"),", ",Constants!$O$4,TEXT(DATE(YEAR(H281)-(($I281/12)-2),MONTH(H281),DAY(H281)),"dd/mm/yyyy"),", ",Constants!$P$4,TEXT($H281,"dd/mm/yyyy")),IF(($I281/12)=2,_xlfn.CONCAT(Constants!$N$3,TEXT(DATE(YEAR(H281)-(($I281/12)-1),MONTH(H281),DAY(H281)),"dd/mm/yyyy"),", ",Constants!$O$3,TEXT($H281,"dd/mm/yyyy")),IF(($I281/12)=1,_xlfn.CONCAT(Constants!$N$2,TEXT($H281,"dd/mm/yyyy")),"Update Constants"))))))),"")</f>
        <v/>
      </c>
      <c r="BC281" s="147" t="str">
        <f>_xlfn.IFNA(VALUE(INDEX(Producer!$K:$K,MATCH($D281,Producer!$A:$A,0))),"")</f>
        <v/>
      </c>
      <c r="BD281" s="147" t="str">
        <f>_xlfn.IFNA(INDEX(Producer!$I:$I,MATCH($D281,Producer!$A:$A,0)),"")</f>
        <v/>
      </c>
      <c r="BE281" s="147" t="str">
        <f t="shared" si="120"/>
        <v/>
      </c>
      <c r="BF281" s="147"/>
      <c r="BG281" s="147"/>
      <c r="BH281" s="151" t="str">
        <f>_xlfn.IFNA(INDEX(Constants!$B:$B,MATCH(BC281,Constants!A:A,0)),"")</f>
        <v/>
      </c>
      <c r="BI281" s="147" t="str">
        <f>IF(LEFT(B281,15)="Limited Company",Constants!$D$16,IFERROR(_xlfn.IFNA(IF(C281="Residential",IF(BK281&lt;75,INDEX(Constants!$B:$B,MATCH(VALUE(60)/100,Constants!$A:$A,0)),INDEX(Constants!$B:$B,MATCH(VALUE(BK281)/100,Constants!$A:$A,0))),IF(BK281&lt;60,INDEX(Constants!$C:$C,MATCH(VALUE(60)/100,Constants!$A:$A,0)),INDEX(Constants!$C:$C,MATCH(VALUE(BK281)/100,Constants!$A:$A,0)))),""),""))</f>
        <v/>
      </c>
      <c r="BJ281" s="147" t="str">
        <f t="shared" si="121"/>
        <v/>
      </c>
      <c r="BK281" s="147" t="str">
        <f>_xlfn.IFNA(VALUE(INDEX(Producer!$E:$E,MATCH($D281,Producer!$A:$A,0)))*100,"")</f>
        <v/>
      </c>
      <c r="BL281" s="146" t="str">
        <f>_xlfn.IFNA(IF(IFERROR(FIND("Part &amp; Part",B281),-10)&gt;0,"PP",IF(OR(LEFT(B281,25)="Residential Interest Only",INDEX(Producer!$P:$P,MATCH($D281,Producer!$A:$A,0))="IO",INDEX(Producer!$P:$P,MATCH($D281,Producer!$A:$A,0))="Retirement Interest Only"),"IO",IF($C281="BuyToLet","CI, IO","CI"))),"")</f>
        <v/>
      </c>
      <c r="BM281" s="152" t="str">
        <f>_xlfn.IFNA(IF(BL281="IO",100%,IF(AND(INDEX(Producer!$P:$P,MATCH($D281,Producer!$A:$A,0))="Residential Interest Only Part &amp; Part",BK281=75),80%,IF(C281="BuyToLet",100%,IF(BL281="Interest Only",100%,IF(AND(INDEX(Producer!$P:$P,MATCH($D281,Producer!$A:$A,0))="Residential Interest Only Part &amp; Part",BK281=60),100%,""))))),"")</f>
        <v/>
      </c>
      <c r="BN281" s="218" t="str">
        <f>_xlfn.IFNA(IF(VALUE(INDEX(Producer!$H:$H,MATCH($D281,Producer!$A:$A,0)))=0,"",VALUE(INDEX(Producer!$H:$H,MATCH($D281,Producer!$A:$A,0)))),"")</f>
        <v/>
      </c>
      <c r="BO281" s="153"/>
      <c r="BP281" s="153"/>
      <c r="BQ281" s="219" t="str">
        <f t="shared" si="122"/>
        <v/>
      </c>
      <c r="BR281" s="146"/>
      <c r="BS281" s="146"/>
      <c r="BT281" s="146"/>
      <c r="BU281" s="146"/>
      <c r="BV281" s="219" t="str">
        <f t="shared" si="123"/>
        <v/>
      </c>
      <c r="BW281" s="146"/>
      <c r="BX281" s="146"/>
      <c r="BY281" s="146" t="str">
        <f t="shared" si="124"/>
        <v/>
      </c>
      <c r="BZ281" s="146" t="str">
        <f t="shared" si="125"/>
        <v/>
      </c>
      <c r="CA281" s="146" t="str">
        <f t="shared" si="126"/>
        <v/>
      </c>
      <c r="CB281" s="146" t="str">
        <f t="shared" si="127"/>
        <v/>
      </c>
      <c r="CC281" s="146" t="str">
        <f>_xlfn.IFNA(IF(INDEX(Producer!$P:$P,MATCH($D281,Producer!$A:$A,0))="Help to Buy","Only available","No"),"")</f>
        <v/>
      </c>
      <c r="CD281" s="146" t="str">
        <f>_xlfn.IFNA(IF(INDEX(Producer!$P:$P,MATCH($D281,Producer!$A:$A,0))="Shared Ownership","Only available","No"),"")</f>
        <v/>
      </c>
      <c r="CE281" s="146" t="str">
        <f>_xlfn.IFNA(IF(INDEX(Producer!$P:$P,MATCH($D281,Producer!$A:$A,0))="Right to Buy","Only available","No"),"")</f>
        <v/>
      </c>
      <c r="CF281" s="146" t="str">
        <f t="shared" si="128"/>
        <v/>
      </c>
      <c r="CG281" s="146" t="str">
        <f>_xlfn.IFNA(IF(INDEX(Producer!$P:$P,MATCH($D281,Producer!$A:$A,0))="Retirement Interest Only","Only available","No"),"")</f>
        <v/>
      </c>
      <c r="CH281" s="146" t="str">
        <f t="shared" si="129"/>
        <v/>
      </c>
      <c r="CI281" s="146" t="str">
        <f>_xlfn.IFNA(IF(INDEX(Producer!$P:$P,MATCH($D281,Producer!$A:$A,0))="Intermediary Holiday Let","Only available","No"),"")</f>
        <v/>
      </c>
      <c r="CJ281" s="146" t="str">
        <f t="shared" si="130"/>
        <v/>
      </c>
      <c r="CK281" s="146" t="str">
        <f>_xlfn.IFNA(IF(OR(INDEX(Producer!$P:$P,MATCH($D281,Producer!$A:$A,0))="Intermediary Small HMO",INDEX(Producer!$P:$P,MATCH($D281,Producer!$A:$A,0))="Intermediary Large HMO"),"Only available","No"),"")</f>
        <v/>
      </c>
      <c r="CL281" s="146" t="str">
        <f t="shared" si="131"/>
        <v/>
      </c>
      <c r="CM281" s="146" t="str">
        <f t="shared" si="132"/>
        <v/>
      </c>
      <c r="CN281" s="146" t="str">
        <f t="shared" si="133"/>
        <v/>
      </c>
      <c r="CO281" s="146" t="str">
        <f t="shared" si="134"/>
        <v/>
      </c>
      <c r="CP281" s="146" t="str">
        <f t="shared" si="135"/>
        <v/>
      </c>
      <c r="CQ281" s="146" t="str">
        <f t="shared" si="136"/>
        <v/>
      </c>
      <c r="CR281" s="146" t="str">
        <f t="shared" si="137"/>
        <v/>
      </c>
      <c r="CS281" s="146" t="str">
        <f t="shared" si="138"/>
        <v/>
      </c>
      <c r="CT281" s="146" t="str">
        <f t="shared" si="139"/>
        <v/>
      </c>
      <c r="CU281" s="146"/>
    </row>
    <row r="282" spans="1:99" ht="16.399999999999999" customHeight="1" x14ac:dyDescent="0.35">
      <c r="A282" s="145" t="str">
        <f t="shared" si="112"/>
        <v/>
      </c>
      <c r="B282" s="145" t="str">
        <f>_xlfn.IFNA(_xlfn.CONCAT(INDEX(Producer!$P:$P,MATCH($D282,Producer!$A:$A,0))," ",IF(INDEX(Producer!$N:$N,MATCH($D282,Producer!$A:$A,0))="Yes","Green ",""),IF(AND(INDEX(Producer!$L:$L,MATCH($D282,Producer!$A:$A,0))="No",INDEX(Producer!$C:$C,MATCH($D282,Producer!$A:$A,0))="Fixed"),"Flexit ",""),INDEX(Producer!$B:$B,MATCH($D282,Producer!$A:$A,0))," Year ",INDEX(Producer!$C:$C,MATCH($D282,Producer!$A:$A,0))," ",VALUE(INDEX(Producer!$E:$E,MATCH($D282,Producer!$A:$A,0)))*100,"% LTV",IF(INDEX(Producer!$N:$N,MATCH($D282,Producer!$A:$A,0))="Yes"," (EPC A-C)","")," - ",IF(INDEX(Producer!$D:$D,MATCH($D282,Producer!$A:$A,0))="DLY","Daily","Annual")),"")</f>
        <v/>
      </c>
      <c r="C282" s="146" t="str">
        <f>_xlfn.IFNA(INDEX(Producer!$Q:$Q,MATCH($D282,Producer!$A:$A,0)),"")</f>
        <v/>
      </c>
      <c r="D282" s="146" t="str">
        <f>IFERROR(VALUE(MID(Producer!$R$2,IF($D281="",1/0,FIND(_xlfn.CONCAT($D280,$D281),Producer!$R$2)+10),5)),"")</f>
        <v/>
      </c>
      <c r="E282" s="146" t="str">
        <f t="shared" si="113"/>
        <v/>
      </c>
      <c r="F282" s="146"/>
      <c r="G282" s="147" t="str">
        <f>_xlfn.IFNA(VALUE(INDEX(Producer!$F:$F,MATCH($D282,Producer!$A:$A,0)))*100,"")</f>
        <v/>
      </c>
      <c r="H282" s="216" t="str">
        <f>_xlfn.IFNA(IFERROR(DATEVALUE(INDEX(Producer!$M:$M,MATCH($D282,Producer!$A:$A,0))),(INDEX(Producer!$M:$M,MATCH($D282,Producer!$A:$A,0)))),"")</f>
        <v/>
      </c>
      <c r="I282" s="217" t="str">
        <f>_xlfn.IFNA(VALUE(INDEX(Producer!$B:$B,MATCH($D282,Producer!$A:$A,0)))*12,"")</f>
        <v/>
      </c>
      <c r="J282" s="146" t="str">
        <f>_xlfn.IFNA(IF(C282="Residential",IF(VALUE(INDEX(Producer!$B:$B,MATCH($D282,Producer!$A:$A,0)))&lt;5,Constants!$C$10,""),IF(VALUE(INDEX(Producer!$B:$B,MATCH($D282,Producer!$A:$A,0)))&lt;5,Constants!$C$11,"")),"")</f>
        <v/>
      </c>
      <c r="K282" s="216" t="str">
        <f>_xlfn.IFNA(IF(($I282)&lt;60,DATE(YEAR(H282)+(5-VALUE(INDEX(Producer!$B:$B,MATCH($D282,Producer!$A:$A,0)))),MONTH(H282),DAY(H282)),""),"")</f>
        <v/>
      </c>
      <c r="L282" s="153" t="str">
        <f t="shared" si="114"/>
        <v/>
      </c>
      <c r="M282" s="146"/>
      <c r="N282" s="148"/>
      <c r="O282" s="148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  <c r="AA282" s="146"/>
      <c r="AB282" s="146"/>
      <c r="AC282" s="146"/>
      <c r="AD282" s="146"/>
      <c r="AE282" s="146"/>
      <c r="AF282" s="146"/>
      <c r="AG282" s="146"/>
      <c r="AH282" s="146"/>
      <c r="AI282" s="146"/>
      <c r="AJ282" s="146"/>
      <c r="AK282" s="146" t="str">
        <f>IF(D282="","",IF(C282="Residential",Constants!$B$10,Constants!$B$11))</f>
        <v/>
      </c>
      <c r="AL282" s="146" t="str">
        <f t="shared" si="115"/>
        <v/>
      </c>
      <c r="AM282" s="206" t="str">
        <f t="shared" si="116"/>
        <v/>
      </c>
      <c r="AN282" s="146" t="str">
        <f t="shared" si="117"/>
        <v/>
      </c>
      <c r="AO282" s="149" t="str">
        <f t="shared" si="118"/>
        <v/>
      </c>
      <c r="AP282" s="150" t="str">
        <f t="shared" si="119"/>
        <v/>
      </c>
      <c r="AQ282" s="146" t="str">
        <f>IFERROR(_xlfn.IFNA(IF($BA282="No",0,IF(INDEX(Constants!B:B,MATCH(($I282/12),Constants!$A:$A,0))=0,0,INDEX(Constants!B:B,MATCH(($I282/12),Constants!$A:$A,0)))),0),"")</f>
        <v/>
      </c>
      <c r="AR282" s="146" t="str">
        <f>IFERROR(_xlfn.IFNA(IF($BA282="No",0,IF(INDEX(Constants!C:C,MATCH(($I282/12),Constants!$A:$A,0))=0,0,INDEX(Constants!C:C,MATCH(($I282/12),Constants!$A:$A,0)))),0),"")</f>
        <v/>
      </c>
      <c r="AS282" s="146" t="str">
        <f>IFERROR(_xlfn.IFNA(IF($BA282="No",0,IF(INDEX(Constants!D:D,MATCH(($I282/12),Constants!$A:$A,0))=0,0,INDEX(Constants!D:D,MATCH(($I282/12),Constants!$A:$A,0)))),0),"")</f>
        <v/>
      </c>
      <c r="AT282" s="146" t="str">
        <f>IFERROR(_xlfn.IFNA(IF($BA282="No",0,IF(INDEX(Constants!E:E,MATCH(($I282/12),Constants!$A:$A,0))=0,0,INDEX(Constants!E:E,MATCH(($I282/12),Constants!$A:$A,0)))),0),"")</f>
        <v/>
      </c>
      <c r="AU282" s="146" t="str">
        <f>IFERROR(_xlfn.IFNA(IF($BA282="No",0,IF(INDEX(Constants!F:F,MATCH(($I282/12),Constants!$A:$A,0))=0,0,INDEX(Constants!F:F,MATCH(($I282/12),Constants!$A:$A,0)))),0),"")</f>
        <v/>
      </c>
      <c r="AV282" s="146" t="str">
        <f>IFERROR(_xlfn.IFNA(IF($BA282="No",0,IF(INDEX(Constants!G:G,MATCH(($I282/12),Constants!$A:$A,0))=0,0,INDEX(Constants!G:G,MATCH(($I282/12),Constants!$A:$A,0)))),0),"")</f>
        <v/>
      </c>
      <c r="AW282" s="146" t="str">
        <f>IFERROR(_xlfn.IFNA(IF($BA282="No",0,IF(INDEX(Constants!H:H,MATCH(($I282/12),Constants!$A:$A,0))=0,0,INDEX(Constants!H:H,MATCH(($I282/12),Constants!$A:$A,0)))),0),"")</f>
        <v/>
      </c>
      <c r="AX282" s="146" t="str">
        <f>IFERROR(_xlfn.IFNA(IF($BA282="No",0,IF(INDEX(Constants!I:I,MATCH(($I282/12),Constants!$A:$A,0))=0,0,INDEX(Constants!I:I,MATCH(($I282/12),Constants!$A:$A,0)))),0),"")</f>
        <v/>
      </c>
      <c r="AY282" s="146" t="str">
        <f>IFERROR(_xlfn.IFNA(IF($BA282="No",0,IF(INDEX(Constants!J:J,MATCH(($I282/12),Constants!$A:$A,0))=0,0,INDEX(Constants!J:J,MATCH(($I282/12),Constants!$A:$A,0)))),0),"")</f>
        <v/>
      </c>
      <c r="AZ282" s="146" t="str">
        <f>IFERROR(_xlfn.IFNA(IF($BA282="No",0,IF(INDEX(Constants!K:K,MATCH(($I282/12),Constants!$A:$A,0))=0,0,INDEX(Constants!K:K,MATCH(($I282/12),Constants!$A:$A,0)))),0),"")</f>
        <v/>
      </c>
      <c r="BA282" s="147" t="str">
        <f>_xlfn.IFNA(INDEX(Producer!$L:$L,MATCH($D282,Producer!$A:$A,0)),"")</f>
        <v/>
      </c>
      <c r="BB282" s="146" t="str">
        <f>IFERROR(IF(AQ282=0,"",IF(($I282/12)=15,_xlfn.CONCAT(Constants!$N$7,TEXT(DATE(YEAR(H282)-(($I282/12)-3),MONTH(H282),DAY(H282)),"dd/mm/yyyy"),", ",Constants!$P$7,TEXT(DATE(YEAR(H282)-(($I282/12)-8),MONTH(H282),DAY(H282)),"dd/mm/yyyy"),", ",Constants!$T$7,TEXT(DATE(YEAR(H282)-(($I282/12)-11),MONTH(H282),DAY(H282)),"dd/mm/yyyy"),", ",Constants!$V$7,TEXT(DATE(YEAR(H282)-(($I282/12)-13),MONTH(H282),DAY(H282)),"dd/mm/yyyy"),", ",Constants!$W$7,TEXT($H282,"dd/mm/yyyy")),IF(($I282/12)=10,_xlfn.CONCAT(Constants!$N$6,TEXT(DATE(YEAR(H282)-(($I282/12)-2),MONTH(H282),DAY(H282)),"dd/mm/yyyy"),", ",Constants!$P$6,TEXT(DATE(YEAR(H282)-(($I282/12)-6),MONTH(H282),DAY(H282)),"dd/mm/yyyy"),", ",Constants!$T$6,TEXT(DATE(YEAR(H282)-(($I282/12)-8),MONTH(H282),DAY(H282)),"dd/mm/yyyy"),", ",Constants!$V$6,TEXT(DATE(YEAR(H282)-(($I282/12)-9),MONTH(H282),DAY(H282)),"dd/mm/yyyy"),", ",Constants!$W$6,TEXT($H282,"dd/mm/yyyy")),IF(($I282/12)=5,_xlfn.CONCAT(Constants!$N$5,TEXT(DATE(YEAR(H282)-(($I282/12)-1),MONTH(H282),DAY(H282)),"dd/mm/yyyy"),", ",Constants!$O$5,TEXT(DATE(YEAR(H282)-(($I282/12)-2),MONTH(H282),DAY(H282)),"dd/mm/yyyy"),", ",Constants!$P$5,TEXT(DATE(YEAR(H282)-(($I282/12)-3),MONTH(H282),DAY(H282)),"dd/mm/yyyy"),", ",Constants!$Q$5,TEXT(DATE(YEAR(H282)-(($I282/12)-4),MONTH(H282),DAY(H282)),"dd/mm/yyyy"),", ",Constants!$R$5,TEXT($H282,"dd/mm/yyyy")),IF(($I282/12)=3,_xlfn.CONCAT(Constants!$N$4,TEXT(DATE(YEAR(H282)-(($I282/12)-1),MONTH(H282),DAY(H282)),"dd/mm/yyyy"),", ",Constants!$O$4,TEXT(DATE(YEAR(H282)-(($I282/12)-2),MONTH(H282),DAY(H282)),"dd/mm/yyyy"),", ",Constants!$P$4,TEXT($H282,"dd/mm/yyyy")),IF(($I282/12)=2,_xlfn.CONCAT(Constants!$N$3,TEXT(DATE(YEAR(H282)-(($I282/12)-1),MONTH(H282),DAY(H282)),"dd/mm/yyyy"),", ",Constants!$O$3,TEXT($H282,"dd/mm/yyyy")),IF(($I282/12)=1,_xlfn.CONCAT(Constants!$N$2,TEXT($H282,"dd/mm/yyyy")),"Update Constants"))))))),"")</f>
        <v/>
      </c>
      <c r="BC282" s="147" t="str">
        <f>_xlfn.IFNA(VALUE(INDEX(Producer!$K:$K,MATCH($D282,Producer!$A:$A,0))),"")</f>
        <v/>
      </c>
      <c r="BD282" s="147" t="str">
        <f>_xlfn.IFNA(INDEX(Producer!$I:$I,MATCH($D282,Producer!$A:$A,0)),"")</f>
        <v/>
      </c>
      <c r="BE282" s="147" t="str">
        <f t="shared" si="120"/>
        <v/>
      </c>
      <c r="BF282" s="147"/>
      <c r="BG282" s="147"/>
      <c r="BH282" s="151" t="str">
        <f>_xlfn.IFNA(INDEX(Constants!$B:$B,MATCH(BC282,Constants!A:A,0)),"")</f>
        <v/>
      </c>
      <c r="BI282" s="147" t="str">
        <f>IF(LEFT(B282,15)="Limited Company",Constants!$D$16,IFERROR(_xlfn.IFNA(IF(C282="Residential",IF(BK282&lt;75,INDEX(Constants!$B:$B,MATCH(VALUE(60)/100,Constants!$A:$A,0)),INDEX(Constants!$B:$B,MATCH(VALUE(BK282)/100,Constants!$A:$A,0))),IF(BK282&lt;60,INDEX(Constants!$C:$C,MATCH(VALUE(60)/100,Constants!$A:$A,0)),INDEX(Constants!$C:$C,MATCH(VALUE(BK282)/100,Constants!$A:$A,0)))),""),""))</f>
        <v/>
      </c>
      <c r="BJ282" s="147" t="str">
        <f t="shared" si="121"/>
        <v/>
      </c>
      <c r="BK282" s="147" t="str">
        <f>_xlfn.IFNA(VALUE(INDEX(Producer!$E:$E,MATCH($D282,Producer!$A:$A,0)))*100,"")</f>
        <v/>
      </c>
      <c r="BL282" s="146" t="str">
        <f>_xlfn.IFNA(IF(IFERROR(FIND("Part &amp; Part",B282),-10)&gt;0,"PP",IF(OR(LEFT(B282,25)="Residential Interest Only",INDEX(Producer!$P:$P,MATCH($D282,Producer!$A:$A,0))="IO",INDEX(Producer!$P:$P,MATCH($D282,Producer!$A:$A,0))="Retirement Interest Only"),"IO",IF($C282="BuyToLet","CI, IO","CI"))),"")</f>
        <v/>
      </c>
      <c r="BM282" s="152" t="str">
        <f>_xlfn.IFNA(IF(BL282="IO",100%,IF(AND(INDEX(Producer!$P:$P,MATCH($D282,Producer!$A:$A,0))="Residential Interest Only Part &amp; Part",BK282=75),80%,IF(C282="BuyToLet",100%,IF(BL282="Interest Only",100%,IF(AND(INDEX(Producer!$P:$P,MATCH($D282,Producer!$A:$A,0))="Residential Interest Only Part &amp; Part",BK282=60),100%,""))))),"")</f>
        <v/>
      </c>
      <c r="BN282" s="218" t="str">
        <f>_xlfn.IFNA(IF(VALUE(INDEX(Producer!$H:$H,MATCH($D282,Producer!$A:$A,0)))=0,"",VALUE(INDEX(Producer!$H:$H,MATCH($D282,Producer!$A:$A,0)))),"")</f>
        <v/>
      </c>
      <c r="BO282" s="153"/>
      <c r="BP282" s="153"/>
      <c r="BQ282" s="219" t="str">
        <f t="shared" si="122"/>
        <v/>
      </c>
      <c r="BR282" s="146"/>
      <c r="BS282" s="146"/>
      <c r="BT282" s="146"/>
      <c r="BU282" s="146"/>
      <c r="BV282" s="219" t="str">
        <f t="shared" si="123"/>
        <v/>
      </c>
      <c r="BW282" s="146"/>
      <c r="BX282" s="146"/>
      <c r="BY282" s="146" t="str">
        <f t="shared" si="124"/>
        <v/>
      </c>
      <c r="BZ282" s="146" t="str">
        <f t="shared" si="125"/>
        <v/>
      </c>
      <c r="CA282" s="146" t="str">
        <f t="shared" si="126"/>
        <v/>
      </c>
      <c r="CB282" s="146" t="str">
        <f t="shared" si="127"/>
        <v/>
      </c>
      <c r="CC282" s="146" t="str">
        <f>_xlfn.IFNA(IF(INDEX(Producer!$P:$P,MATCH($D282,Producer!$A:$A,0))="Help to Buy","Only available","No"),"")</f>
        <v/>
      </c>
      <c r="CD282" s="146" t="str">
        <f>_xlfn.IFNA(IF(INDEX(Producer!$P:$P,MATCH($D282,Producer!$A:$A,0))="Shared Ownership","Only available","No"),"")</f>
        <v/>
      </c>
      <c r="CE282" s="146" t="str">
        <f>_xlfn.IFNA(IF(INDEX(Producer!$P:$P,MATCH($D282,Producer!$A:$A,0))="Right to Buy","Only available","No"),"")</f>
        <v/>
      </c>
      <c r="CF282" s="146" t="str">
        <f t="shared" si="128"/>
        <v/>
      </c>
      <c r="CG282" s="146" t="str">
        <f>_xlfn.IFNA(IF(INDEX(Producer!$P:$P,MATCH($D282,Producer!$A:$A,0))="Retirement Interest Only","Only available","No"),"")</f>
        <v/>
      </c>
      <c r="CH282" s="146" t="str">
        <f t="shared" si="129"/>
        <v/>
      </c>
      <c r="CI282" s="146" t="str">
        <f>_xlfn.IFNA(IF(INDEX(Producer!$P:$P,MATCH($D282,Producer!$A:$A,0))="Intermediary Holiday Let","Only available","No"),"")</f>
        <v/>
      </c>
      <c r="CJ282" s="146" t="str">
        <f t="shared" si="130"/>
        <v/>
      </c>
      <c r="CK282" s="146" t="str">
        <f>_xlfn.IFNA(IF(OR(INDEX(Producer!$P:$P,MATCH($D282,Producer!$A:$A,0))="Intermediary Small HMO",INDEX(Producer!$P:$P,MATCH($D282,Producer!$A:$A,0))="Intermediary Large HMO"),"Only available","No"),"")</f>
        <v/>
      </c>
      <c r="CL282" s="146" t="str">
        <f t="shared" si="131"/>
        <v/>
      </c>
      <c r="CM282" s="146" t="str">
        <f t="shared" si="132"/>
        <v/>
      </c>
      <c r="CN282" s="146" t="str">
        <f t="shared" si="133"/>
        <v/>
      </c>
      <c r="CO282" s="146" t="str">
        <f t="shared" si="134"/>
        <v/>
      </c>
      <c r="CP282" s="146" t="str">
        <f t="shared" si="135"/>
        <v/>
      </c>
      <c r="CQ282" s="146" t="str">
        <f t="shared" si="136"/>
        <v/>
      </c>
      <c r="CR282" s="146" t="str">
        <f t="shared" si="137"/>
        <v/>
      </c>
      <c r="CS282" s="146" t="str">
        <f t="shared" si="138"/>
        <v/>
      </c>
      <c r="CT282" s="146" t="str">
        <f t="shared" si="139"/>
        <v/>
      </c>
      <c r="CU282" s="146"/>
    </row>
    <row r="283" spans="1:99" ht="16.399999999999999" customHeight="1" x14ac:dyDescent="0.35">
      <c r="A283" s="145" t="str">
        <f t="shared" si="112"/>
        <v/>
      </c>
      <c r="B283" s="145" t="str">
        <f>_xlfn.IFNA(_xlfn.CONCAT(INDEX(Producer!$P:$P,MATCH($D283,Producer!$A:$A,0))," ",IF(INDEX(Producer!$N:$N,MATCH($D283,Producer!$A:$A,0))="Yes","Green ",""),IF(AND(INDEX(Producer!$L:$L,MATCH($D283,Producer!$A:$A,0))="No",INDEX(Producer!$C:$C,MATCH($D283,Producer!$A:$A,0))="Fixed"),"Flexit ",""),INDEX(Producer!$B:$B,MATCH($D283,Producer!$A:$A,0))," Year ",INDEX(Producer!$C:$C,MATCH($D283,Producer!$A:$A,0))," ",VALUE(INDEX(Producer!$E:$E,MATCH($D283,Producer!$A:$A,0)))*100,"% LTV",IF(INDEX(Producer!$N:$N,MATCH($D283,Producer!$A:$A,0))="Yes"," (EPC A-C)","")," - ",IF(INDEX(Producer!$D:$D,MATCH($D283,Producer!$A:$A,0))="DLY","Daily","Annual")),"")</f>
        <v/>
      </c>
      <c r="C283" s="146" t="str">
        <f>_xlfn.IFNA(INDEX(Producer!$Q:$Q,MATCH($D283,Producer!$A:$A,0)),"")</f>
        <v/>
      </c>
      <c r="D283" s="146" t="str">
        <f>IFERROR(VALUE(MID(Producer!$R$2,IF($D282="",1/0,FIND(_xlfn.CONCAT($D281,$D282),Producer!$R$2)+10),5)),"")</f>
        <v/>
      </c>
      <c r="E283" s="146" t="str">
        <f t="shared" si="113"/>
        <v/>
      </c>
      <c r="F283" s="146"/>
      <c r="G283" s="147" t="str">
        <f>_xlfn.IFNA(VALUE(INDEX(Producer!$F:$F,MATCH($D283,Producer!$A:$A,0)))*100,"")</f>
        <v/>
      </c>
      <c r="H283" s="216" t="str">
        <f>_xlfn.IFNA(IFERROR(DATEVALUE(INDEX(Producer!$M:$M,MATCH($D283,Producer!$A:$A,0))),(INDEX(Producer!$M:$M,MATCH($D283,Producer!$A:$A,0)))),"")</f>
        <v/>
      </c>
      <c r="I283" s="217" t="str">
        <f>_xlfn.IFNA(VALUE(INDEX(Producer!$B:$B,MATCH($D283,Producer!$A:$A,0)))*12,"")</f>
        <v/>
      </c>
      <c r="J283" s="146" t="str">
        <f>_xlfn.IFNA(IF(C283="Residential",IF(VALUE(INDEX(Producer!$B:$B,MATCH($D283,Producer!$A:$A,0)))&lt;5,Constants!$C$10,""),IF(VALUE(INDEX(Producer!$B:$B,MATCH($D283,Producer!$A:$A,0)))&lt;5,Constants!$C$11,"")),"")</f>
        <v/>
      </c>
      <c r="K283" s="216" t="str">
        <f>_xlfn.IFNA(IF(($I283)&lt;60,DATE(YEAR(H283)+(5-VALUE(INDEX(Producer!$B:$B,MATCH($D283,Producer!$A:$A,0)))),MONTH(H283),DAY(H283)),""),"")</f>
        <v/>
      </c>
      <c r="L283" s="153" t="str">
        <f t="shared" si="114"/>
        <v/>
      </c>
      <c r="M283" s="146"/>
      <c r="N283" s="148"/>
      <c r="O283" s="148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  <c r="AA283" s="146"/>
      <c r="AB283" s="146"/>
      <c r="AC283" s="146"/>
      <c r="AD283" s="146"/>
      <c r="AE283" s="146"/>
      <c r="AF283" s="146"/>
      <c r="AG283" s="146"/>
      <c r="AH283" s="146"/>
      <c r="AI283" s="146"/>
      <c r="AJ283" s="146"/>
      <c r="AK283" s="146" t="str">
        <f>IF(D283="","",IF(C283="Residential",Constants!$B$10,Constants!$B$11))</f>
        <v/>
      </c>
      <c r="AL283" s="146" t="str">
        <f t="shared" si="115"/>
        <v/>
      </c>
      <c r="AM283" s="206" t="str">
        <f t="shared" si="116"/>
        <v/>
      </c>
      <c r="AN283" s="146" t="str">
        <f t="shared" si="117"/>
        <v/>
      </c>
      <c r="AO283" s="149" t="str">
        <f t="shared" si="118"/>
        <v/>
      </c>
      <c r="AP283" s="150" t="str">
        <f t="shared" si="119"/>
        <v/>
      </c>
      <c r="AQ283" s="146" t="str">
        <f>IFERROR(_xlfn.IFNA(IF($BA283="No",0,IF(INDEX(Constants!B:B,MATCH(($I283/12),Constants!$A:$A,0))=0,0,INDEX(Constants!B:B,MATCH(($I283/12),Constants!$A:$A,0)))),0),"")</f>
        <v/>
      </c>
      <c r="AR283" s="146" t="str">
        <f>IFERROR(_xlfn.IFNA(IF($BA283="No",0,IF(INDEX(Constants!C:C,MATCH(($I283/12),Constants!$A:$A,0))=0,0,INDEX(Constants!C:C,MATCH(($I283/12),Constants!$A:$A,0)))),0),"")</f>
        <v/>
      </c>
      <c r="AS283" s="146" t="str">
        <f>IFERROR(_xlfn.IFNA(IF($BA283="No",0,IF(INDEX(Constants!D:D,MATCH(($I283/12),Constants!$A:$A,0))=0,0,INDEX(Constants!D:D,MATCH(($I283/12),Constants!$A:$A,0)))),0),"")</f>
        <v/>
      </c>
      <c r="AT283" s="146" t="str">
        <f>IFERROR(_xlfn.IFNA(IF($BA283="No",0,IF(INDEX(Constants!E:E,MATCH(($I283/12),Constants!$A:$A,0))=0,0,INDEX(Constants!E:E,MATCH(($I283/12),Constants!$A:$A,0)))),0),"")</f>
        <v/>
      </c>
      <c r="AU283" s="146" t="str">
        <f>IFERROR(_xlfn.IFNA(IF($BA283="No",0,IF(INDEX(Constants!F:F,MATCH(($I283/12),Constants!$A:$A,0))=0,0,INDEX(Constants!F:F,MATCH(($I283/12),Constants!$A:$A,0)))),0),"")</f>
        <v/>
      </c>
      <c r="AV283" s="146" t="str">
        <f>IFERROR(_xlfn.IFNA(IF($BA283="No",0,IF(INDEX(Constants!G:G,MATCH(($I283/12),Constants!$A:$A,0))=0,0,INDEX(Constants!G:G,MATCH(($I283/12),Constants!$A:$A,0)))),0),"")</f>
        <v/>
      </c>
      <c r="AW283" s="146" t="str">
        <f>IFERROR(_xlfn.IFNA(IF($BA283="No",0,IF(INDEX(Constants!H:H,MATCH(($I283/12),Constants!$A:$A,0))=0,0,INDEX(Constants!H:H,MATCH(($I283/12),Constants!$A:$A,0)))),0),"")</f>
        <v/>
      </c>
      <c r="AX283" s="146" t="str">
        <f>IFERROR(_xlfn.IFNA(IF($BA283="No",0,IF(INDEX(Constants!I:I,MATCH(($I283/12),Constants!$A:$A,0))=0,0,INDEX(Constants!I:I,MATCH(($I283/12),Constants!$A:$A,0)))),0),"")</f>
        <v/>
      </c>
      <c r="AY283" s="146" t="str">
        <f>IFERROR(_xlfn.IFNA(IF($BA283="No",0,IF(INDEX(Constants!J:J,MATCH(($I283/12),Constants!$A:$A,0))=0,0,INDEX(Constants!J:J,MATCH(($I283/12),Constants!$A:$A,0)))),0),"")</f>
        <v/>
      </c>
      <c r="AZ283" s="146" t="str">
        <f>IFERROR(_xlfn.IFNA(IF($BA283="No",0,IF(INDEX(Constants!K:K,MATCH(($I283/12),Constants!$A:$A,0))=0,0,INDEX(Constants!K:K,MATCH(($I283/12),Constants!$A:$A,0)))),0),"")</f>
        <v/>
      </c>
      <c r="BA283" s="147" t="str">
        <f>_xlfn.IFNA(INDEX(Producer!$L:$L,MATCH($D283,Producer!$A:$A,0)),"")</f>
        <v/>
      </c>
      <c r="BB283" s="146" t="str">
        <f>IFERROR(IF(AQ283=0,"",IF(($I283/12)=15,_xlfn.CONCAT(Constants!$N$7,TEXT(DATE(YEAR(H283)-(($I283/12)-3),MONTH(H283),DAY(H283)),"dd/mm/yyyy"),", ",Constants!$P$7,TEXT(DATE(YEAR(H283)-(($I283/12)-8),MONTH(H283),DAY(H283)),"dd/mm/yyyy"),", ",Constants!$T$7,TEXT(DATE(YEAR(H283)-(($I283/12)-11),MONTH(H283),DAY(H283)),"dd/mm/yyyy"),", ",Constants!$V$7,TEXT(DATE(YEAR(H283)-(($I283/12)-13),MONTH(H283),DAY(H283)),"dd/mm/yyyy"),", ",Constants!$W$7,TEXT($H283,"dd/mm/yyyy")),IF(($I283/12)=10,_xlfn.CONCAT(Constants!$N$6,TEXT(DATE(YEAR(H283)-(($I283/12)-2),MONTH(H283),DAY(H283)),"dd/mm/yyyy"),", ",Constants!$P$6,TEXT(DATE(YEAR(H283)-(($I283/12)-6),MONTH(H283),DAY(H283)),"dd/mm/yyyy"),", ",Constants!$T$6,TEXT(DATE(YEAR(H283)-(($I283/12)-8),MONTH(H283),DAY(H283)),"dd/mm/yyyy"),", ",Constants!$V$6,TEXT(DATE(YEAR(H283)-(($I283/12)-9),MONTH(H283),DAY(H283)),"dd/mm/yyyy"),", ",Constants!$W$6,TEXT($H283,"dd/mm/yyyy")),IF(($I283/12)=5,_xlfn.CONCAT(Constants!$N$5,TEXT(DATE(YEAR(H283)-(($I283/12)-1),MONTH(H283),DAY(H283)),"dd/mm/yyyy"),", ",Constants!$O$5,TEXT(DATE(YEAR(H283)-(($I283/12)-2),MONTH(H283),DAY(H283)),"dd/mm/yyyy"),", ",Constants!$P$5,TEXT(DATE(YEAR(H283)-(($I283/12)-3),MONTH(H283),DAY(H283)),"dd/mm/yyyy"),", ",Constants!$Q$5,TEXT(DATE(YEAR(H283)-(($I283/12)-4),MONTH(H283),DAY(H283)),"dd/mm/yyyy"),", ",Constants!$R$5,TEXT($H283,"dd/mm/yyyy")),IF(($I283/12)=3,_xlfn.CONCAT(Constants!$N$4,TEXT(DATE(YEAR(H283)-(($I283/12)-1),MONTH(H283),DAY(H283)),"dd/mm/yyyy"),", ",Constants!$O$4,TEXT(DATE(YEAR(H283)-(($I283/12)-2),MONTH(H283),DAY(H283)),"dd/mm/yyyy"),", ",Constants!$P$4,TEXT($H283,"dd/mm/yyyy")),IF(($I283/12)=2,_xlfn.CONCAT(Constants!$N$3,TEXT(DATE(YEAR(H283)-(($I283/12)-1),MONTH(H283),DAY(H283)),"dd/mm/yyyy"),", ",Constants!$O$3,TEXT($H283,"dd/mm/yyyy")),IF(($I283/12)=1,_xlfn.CONCAT(Constants!$N$2,TEXT($H283,"dd/mm/yyyy")),"Update Constants"))))))),"")</f>
        <v/>
      </c>
      <c r="BC283" s="147" t="str">
        <f>_xlfn.IFNA(VALUE(INDEX(Producer!$K:$K,MATCH($D283,Producer!$A:$A,0))),"")</f>
        <v/>
      </c>
      <c r="BD283" s="147" t="str">
        <f>_xlfn.IFNA(INDEX(Producer!$I:$I,MATCH($D283,Producer!$A:$A,0)),"")</f>
        <v/>
      </c>
      <c r="BE283" s="147" t="str">
        <f t="shared" si="120"/>
        <v/>
      </c>
      <c r="BF283" s="147"/>
      <c r="BG283" s="147"/>
      <c r="BH283" s="151" t="str">
        <f>_xlfn.IFNA(INDEX(Constants!$B:$B,MATCH(BC283,Constants!A:A,0)),"")</f>
        <v/>
      </c>
      <c r="BI283" s="147" t="str">
        <f>IF(LEFT(B283,15)="Limited Company",Constants!$D$16,IFERROR(_xlfn.IFNA(IF(C283="Residential",IF(BK283&lt;75,INDEX(Constants!$B:$B,MATCH(VALUE(60)/100,Constants!$A:$A,0)),INDEX(Constants!$B:$B,MATCH(VALUE(BK283)/100,Constants!$A:$A,0))),IF(BK283&lt;60,INDEX(Constants!$C:$C,MATCH(VALUE(60)/100,Constants!$A:$A,0)),INDEX(Constants!$C:$C,MATCH(VALUE(BK283)/100,Constants!$A:$A,0)))),""),""))</f>
        <v/>
      </c>
      <c r="BJ283" s="147" t="str">
        <f t="shared" si="121"/>
        <v/>
      </c>
      <c r="BK283" s="147" t="str">
        <f>_xlfn.IFNA(VALUE(INDEX(Producer!$E:$E,MATCH($D283,Producer!$A:$A,0)))*100,"")</f>
        <v/>
      </c>
      <c r="BL283" s="146" t="str">
        <f>_xlfn.IFNA(IF(IFERROR(FIND("Part &amp; Part",B283),-10)&gt;0,"PP",IF(OR(LEFT(B283,25)="Residential Interest Only",INDEX(Producer!$P:$P,MATCH($D283,Producer!$A:$A,0))="IO",INDEX(Producer!$P:$P,MATCH($D283,Producer!$A:$A,0))="Retirement Interest Only"),"IO",IF($C283="BuyToLet","CI, IO","CI"))),"")</f>
        <v/>
      </c>
      <c r="BM283" s="152" t="str">
        <f>_xlfn.IFNA(IF(BL283="IO",100%,IF(AND(INDEX(Producer!$P:$P,MATCH($D283,Producer!$A:$A,0))="Residential Interest Only Part &amp; Part",BK283=75),80%,IF(C283="BuyToLet",100%,IF(BL283="Interest Only",100%,IF(AND(INDEX(Producer!$P:$P,MATCH($D283,Producer!$A:$A,0))="Residential Interest Only Part &amp; Part",BK283=60),100%,""))))),"")</f>
        <v/>
      </c>
      <c r="BN283" s="218" t="str">
        <f>_xlfn.IFNA(IF(VALUE(INDEX(Producer!$H:$H,MATCH($D283,Producer!$A:$A,0)))=0,"",VALUE(INDEX(Producer!$H:$H,MATCH($D283,Producer!$A:$A,0)))),"")</f>
        <v/>
      </c>
      <c r="BO283" s="153"/>
      <c r="BP283" s="153"/>
      <c r="BQ283" s="219" t="str">
        <f t="shared" si="122"/>
        <v/>
      </c>
      <c r="BR283" s="146"/>
      <c r="BS283" s="146"/>
      <c r="BT283" s="146"/>
      <c r="BU283" s="146"/>
      <c r="BV283" s="219" t="str">
        <f t="shared" si="123"/>
        <v/>
      </c>
      <c r="BW283" s="146"/>
      <c r="BX283" s="146"/>
      <c r="BY283" s="146" t="str">
        <f t="shared" si="124"/>
        <v/>
      </c>
      <c r="BZ283" s="146" t="str">
        <f t="shared" si="125"/>
        <v/>
      </c>
      <c r="CA283" s="146" t="str">
        <f t="shared" si="126"/>
        <v/>
      </c>
      <c r="CB283" s="146" t="str">
        <f t="shared" si="127"/>
        <v/>
      </c>
      <c r="CC283" s="146" t="str">
        <f>_xlfn.IFNA(IF(INDEX(Producer!$P:$P,MATCH($D283,Producer!$A:$A,0))="Help to Buy","Only available","No"),"")</f>
        <v/>
      </c>
      <c r="CD283" s="146" t="str">
        <f>_xlfn.IFNA(IF(INDEX(Producer!$P:$P,MATCH($D283,Producer!$A:$A,0))="Shared Ownership","Only available","No"),"")</f>
        <v/>
      </c>
      <c r="CE283" s="146" t="str">
        <f>_xlfn.IFNA(IF(INDEX(Producer!$P:$P,MATCH($D283,Producer!$A:$A,0))="Right to Buy","Only available","No"),"")</f>
        <v/>
      </c>
      <c r="CF283" s="146" t="str">
        <f t="shared" si="128"/>
        <v/>
      </c>
      <c r="CG283" s="146" t="str">
        <f>_xlfn.IFNA(IF(INDEX(Producer!$P:$P,MATCH($D283,Producer!$A:$A,0))="Retirement Interest Only","Only available","No"),"")</f>
        <v/>
      </c>
      <c r="CH283" s="146" t="str">
        <f t="shared" si="129"/>
        <v/>
      </c>
      <c r="CI283" s="146" t="str">
        <f>_xlfn.IFNA(IF(INDEX(Producer!$P:$P,MATCH($D283,Producer!$A:$A,0))="Intermediary Holiday Let","Only available","No"),"")</f>
        <v/>
      </c>
      <c r="CJ283" s="146" t="str">
        <f t="shared" si="130"/>
        <v/>
      </c>
      <c r="CK283" s="146" t="str">
        <f>_xlfn.IFNA(IF(OR(INDEX(Producer!$P:$P,MATCH($D283,Producer!$A:$A,0))="Intermediary Small HMO",INDEX(Producer!$P:$P,MATCH($D283,Producer!$A:$A,0))="Intermediary Large HMO"),"Only available","No"),"")</f>
        <v/>
      </c>
      <c r="CL283" s="146" t="str">
        <f t="shared" si="131"/>
        <v/>
      </c>
      <c r="CM283" s="146" t="str">
        <f t="shared" si="132"/>
        <v/>
      </c>
      <c r="CN283" s="146" t="str">
        <f t="shared" si="133"/>
        <v/>
      </c>
      <c r="CO283" s="146" t="str">
        <f t="shared" si="134"/>
        <v/>
      </c>
      <c r="CP283" s="146" t="str">
        <f t="shared" si="135"/>
        <v/>
      </c>
      <c r="CQ283" s="146" t="str">
        <f t="shared" si="136"/>
        <v/>
      </c>
      <c r="CR283" s="146" t="str">
        <f t="shared" si="137"/>
        <v/>
      </c>
      <c r="CS283" s="146" t="str">
        <f t="shared" si="138"/>
        <v/>
      </c>
      <c r="CT283" s="146" t="str">
        <f t="shared" si="139"/>
        <v/>
      </c>
      <c r="CU283" s="146"/>
    </row>
    <row r="284" spans="1:99" ht="16.399999999999999" customHeight="1" x14ac:dyDescent="0.35">
      <c r="A284" s="145" t="str">
        <f t="shared" si="112"/>
        <v/>
      </c>
      <c r="B284" s="145" t="str">
        <f>_xlfn.IFNA(_xlfn.CONCAT(INDEX(Producer!$P:$P,MATCH($D284,Producer!$A:$A,0))," ",IF(INDEX(Producer!$N:$N,MATCH($D284,Producer!$A:$A,0))="Yes","Green ",""),IF(AND(INDEX(Producer!$L:$L,MATCH($D284,Producer!$A:$A,0))="No",INDEX(Producer!$C:$C,MATCH($D284,Producer!$A:$A,0))="Fixed"),"Flexit ",""),INDEX(Producer!$B:$B,MATCH($D284,Producer!$A:$A,0))," Year ",INDEX(Producer!$C:$C,MATCH($D284,Producer!$A:$A,0))," ",VALUE(INDEX(Producer!$E:$E,MATCH($D284,Producer!$A:$A,0)))*100,"% LTV",IF(INDEX(Producer!$N:$N,MATCH($D284,Producer!$A:$A,0))="Yes"," (EPC A-C)","")," - ",IF(INDEX(Producer!$D:$D,MATCH($D284,Producer!$A:$A,0))="DLY","Daily","Annual")),"")</f>
        <v/>
      </c>
      <c r="C284" s="146" t="str">
        <f>_xlfn.IFNA(INDEX(Producer!$Q:$Q,MATCH($D284,Producer!$A:$A,0)),"")</f>
        <v/>
      </c>
      <c r="D284" s="146" t="str">
        <f>IFERROR(VALUE(MID(Producer!$R$2,IF($D283="",1/0,FIND(_xlfn.CONCAT($D282,$D283),Producer!$R$2)+10),5)),"")</f>
        <v/>
      </c>
      <c r="E284" s="146" t="str">
        <f t="shared" si="113"/>
        <v/>
      </c>
      <c r="F284" s="146"/>
      <c r="G284" s="147" t="str">
        <f>_xlfn.IFNA(VALUE(INDEX(Producer!$F:$F,MATCH($D284,Producer!$A:$A,0)))*100,"")</f>
        <v/>
      </c>
      <c r="H284" s="216" t="str">
        <f>_xlfn.IFNA(IFERROR(DATEVALUE(INDEX(Producer!$M:$M,MATCH($D284,Producer!$A:$A,0))),(INDEX(Producer!$M:$M,MATCH($D284,Producer!$A:$A,0)))),"")</f>
        <v/>
      </c>
      <c r="I284" s="217" t="str">
        <f>_xlfn.IFNA(VALUE(INDEX(Producer!$B:$B,MATCH($D284,Producer!$A:$A,0)))*12,"")</f>
        <v/>
      </c>
      <c r="J284" s="146" t="str">
        <f>_xlfn.IFNA(IF(C284="Residential",IF(VALUE(INDEX(Producer!$B:$B,MATCH($D284,Producer!$A:$A,0)))&lt;5,Constants!$C$10,""),IF(VALUE(INDEX(Producer!$B:$B,MATCH($D284,Producer!$A:$A,0)))&lt;5,Constants!$C$11,"")),"")</f>
        <v/>
      </c>
      <c r="K284" s="216" t="str">
        <f>_xlfn.IFNA(IF(($I284)&lt;60,DATE(YEAR(H284)+(5-VALUE(INDEX(Producer!$B:$B,MATCH($D284,Producer!$A:$A,0)))),MONTH(H284),DAY(H284)),""),"")</f>
        <v/>
      </c>
      <c r="L284" s="153" t="str">
        <f t="shared" si="114"/>
        <v/>
      </c>
      <c r="M284" s="146"/>
      <c r="N284" s="148"/>
      <c r="O284" s="148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146"/>
      <c r="AE284" s="146"/>
      <c r="AF284" s="146"/>
      <c r="AG284" s="146"/>
      <c r="AH284" s="146"/>
      <c r="AI284" s="146"/>
      <c r="AJ284" s="146"/>
      <c r="AK284" s="146" t="str">
        <f>IF(D284="","",IF(C284="Residential",Constants!$B$10,Constants!$B$11))</f>
        <v/>
      </c>
      <c r="AL284" s="146" t="str">
        <f t="shared" si="115"/>
        <v/>
      </c>
      <c r="AM284" s="206" t="str">
        <f t="shared" si="116"/>
        <v/>
      </c>
      <c r="AN284" s="146" t="str">
        <f t="shared" si="117"/>
        <v/>
      </c>
      <c r="AO284" s="149" t="str">
        <f t="shared" si="118"/>
        <v/>
      </c>
      <c r="AP284" s="150" t="str">
        <f t="shared" si="119"/>
        <v/>
      </c>
      <c r="AQ284" s="146" t="str">
        <f>IFERROR(_xlfn.IFNA(IF($BA284="No",0,IF(INDEX(Constants!B:B,MATCH(($I284/12),Constants!$A:$A,0))=0,0,INDEX(Constants!B:B,MATCH(($I284/12),Constants!$A:$A,0)))),0),"")</f>
        <v/>
      </c>
      <c r="AR284" s="146" t="str">
        <f>IFERROR(_xlfn.IFNA(IF($BA284="No",0,IF(INDEX(Constants!C:C,MATCH(($I284/12),Constants!$A:$A,0))=0,0,INDEX(Constants!C:C,MATCH(($I284/12),Constants!$A:$A,0)))),0),"")</f>
        <v/>
      </c>
      <c r="AS284" s="146" t="str">
        <f>IFERROR(_xlfn.IFNA(IF($BA284="No",0,IF(INDEX(Constants!D:D,MATCH(($I284/12),Constants!$A:$A,0))=0,0,INDEX(Constants!D:D,MATCH(($I284/12),Constants!$A:$A,0)))),0),"")</f>
        <v/>
      </c>
      <c r="AT284" s="146" t="str">
        <f>IFERROR(_xlfn.IFNA(IF($BA284="No",0,IF(INDEX(Constants!E:E,MATCH(($I284/12),Constants!$A:$A,0))=0,0,INDEX(Constants!E:E,MATCH(($I284/12),Constants!$A:$A,0)))),0),"")</f>
        <v/>
      </c>
      <c r="AU284" s="146" t="str">
        <f>IFERROR(_xlfn.IFNA(IF($BA284="No",0,IF(INDEX(Constants!F:F,MATCH(($I284/12),Constants!$A:$A,0))=0,0,INDEX(Constants!F:F,MATCH(($I284/12),Constants!$A:$A,0)))),0),"")</f>
        <v/>
      </c>
      <c r="AV284" s="146" t="str">
        <f>IFERROR(_xlfn.IFNA(IF($BA284="No",0,IF(INDEX(Constants!G:G,MATCH(($I284/12),Constants!$A:$A,0))=0,0,INDEX(Constants!G:G,MATCH(($I284/12),Constants!$A:$A,0)))),0),"")</f>
        <v/>
      </c>
      <c r="AW284" s="146" t="str">
        <f>IFERROR(_xlfn.IFNA(IF($BA284="No",0,IF(INDEX(Constants!H:H,MATCH(($I284/12),Constants!$A:$A,0))=0,0,INDEX(Constants!H:H,MATCH(($I284/12),Constants!$A:$A,0)))),0),"")</f>
        <v/>
      </c>
      <c r="AX284" s="146" t="str">
        <f>IFERROR(_xlfn.IFNA(IF($BA284="No",0,IF(INDEX(Constants!I:I,MATCH(($I284/12),Constants!$A:$A,0))=0,0,INDEX(Constants!I:I,MATCH(($I284/12),Constants!$A:$A,0)))),0),"")</f>
        <v/>
      </c>
      <c r="AY284" s="146" t="str">
        <f>IFERROR(_xlfn.IFNA(IF($BA284="No",0,IF(INDEX(Constants!J:J,MATCH(($I284/12),Constants!$A:$A,0))=0,0,INDEX(Constants!J:J,MATCH(($I284/12),Constants!$A:$A,0)))),0),"")</f>
        <v/>
      </c>
      <c r="AZ284" s="146" t="str">
        <f>IFERROR(_xlfn.IFNA(IF($BA284="No",0,IF(INDEX(Constants!K:K,MATCH(($I284/12),Constants!$A:$A,0))=0,0,INDEX(Constants!K:K,MATCH(($I284/12),Constants!$A:$A,0)))),0),"")</f>
        <v/>
      </c>
      <c r="BA284" s="147" t="str">
        <f>_xlfn.IFNA(INDEX(Producer!$L:$L,MATCH($D284,Producer!$A:$A,0)),"")</f>
        <v/>
      </c>
      <c r="BB284" s="146" t="str">
        <f>IFERROR(IF(AQ284=0,"",IF(($I284/12)=15,_xlfn.CONCAT(Constants!$N$7,TEXT(DATE(YEAR(H284)-(($I284/12)-3),MONTH(H284),DAY(H284)),"dd/mm/yyyy"),", ",Constants!$P$7,TEXT(DATE(YEAR(H284)-(($I284/12)-8),MONTH(H284),DAY(H284)),"dd/mm/yyyy"),", ",Constants!$T$7,TEXT(DATE(YEAR(H284)-(($I284/12)-11),MONTH(H284),DAY(H284)),"dd/mm/yyyy"),", ",Constants!$V$7,TEXT(DATE(YEAR(H284)-(($I284/12)-13),MONTH(H284),DAY(H284)),"dd/mm/yyyy"),", ",Constants!$W$7,TEXT($H284,"dd/mm/yyyy")),IF(($I284/12)=10,_xlfn.CONCAT(Constants!$N$6,TEXT(DATE(YEAR(H284)-(($I284/12)-2),MONTH(H284),DAY(H284)),"dd/mm/yyyy"),", ",Constants!$P$6,TEXT(DATE(YEAR(H284)-(($I284/12)-6),MONTH(H284),DAY(H284)),"dd/mm/yyyy"),", ",Constants!$T$6,TEXT(DATE(YEAR(H284)-(($I284/12)-8),MONTH(H284),DAY(H284)),"dd/mm/yyyy"),", ",Constants!$V$6,TEXT(DATE(YEAR(H284)-(($I284/12)-9),MONTH(H284),DAY(H284)),"dd/mm/yyyy"),", ",Constants!$W$6,TEXT($H284,"dd/mm/yyyy")),IF(($I284/12)=5,_xlfn.CONCAT(Constants!$N$5,TEXT(DATE(YEAR(H284)-(($I284/12)-1),MONTH(H284),DAY(H284)),"dd/mm/yyyy"),", ",Constants!$O$5,TEXT(DATE(YEAR(H284)-(($I284/12)-2),MONTH(H284),DAY(H284)),"dd/mm/yyyy"),", ",Constants!$P$5,TEXT(DATE(YEAR(H284)-(($I284/12)-3),MONTH(H284),DAY(H284)),"dd/mm/yyyy"),", ",Constants!$Q$5,TEXT(DATE(YEAR(H284)-(($I284/12)-4),MONTH(H284),DAY(H284)),"dd/mm/yyyy"),", ",Constants!$R$5,TEXT($H284,"dd/mm/yyyy")),IF(($I284/12)=3,_xlfn.CONCAT(Constants!$N$4,TEXT(DATE(YEAR(H284)-(($I284/12)-1),MONTH(H284),DAY(H284)),"dd/mm/yyyy"),", ",Constants!$O$4,TEXT(DATE(YEAR(H284)-(($I284/12)-2),MONTH(H284),DAY(H284)),"dd/mm/yyyy"),", ",Constants!$P$4,TEXT($H284,"dd/mm/yyyy")),IF(($I284/12)=2,_xlfn.CONCAT(Constants!$N$3,TEXT(DATE(YEAR(H284)-(($I284/12)-1),MONTH(H284),DAY(H284)),"dd/mm/yyyy"),", ",Constants!$O$3,TEXT($H284,"dd/mm/yyyy")),IF(($I284/12)=1,_xlfn.CONCAT(Constants!$N$2,TEXT($H284,"dd/mm/yyyy")),"Update Constants"))))))),"")</f>
        <v/>
      </c>
      <c r="BC284" s="147" t="str">
        <f>_xlfn.IFNA(VALUE(INDEX(Producer!$K:$K,MATCH($D284,Producer!$A:$A,0))),"")</f>
        <v/>
      </c>
      <c r="BD284" s="147" t="str">
        <f>_xlfn.IFNA(INDEX(Producer!$I:$I,MATCH($D284,Producer!$A:$A,0)),"")</f>
        <v/>
      </c>
      <c r="BE284" s="147" t="str">
        <f t="shared" si="120"/>
        <v/>
      </c>
      <c r="BF284" s="147"/>
      <c r="BG284" s="147"/>
      <c r="BH284" s="151" t="str">
        <f>_xlfn.IFNA(INDEX(Constants!$B:$B,MATCH(BC284,Constants!A:A,0)),"")</f>
        <v/>
      </c>
      <c r="BI284" s="147" t="str">
        <f>IF(LEFT(B284,15)="Limited Company",Constants!$D$16,IFERROR(_xlfn.IFNA(IF(C284="Residential",IF(BK284&lt;75,INDEX(Constants!$B:$B,MATCH(VALUE(60)/100,Constants!$A:$A,0)),INDEX(Constants!$B:$B,MATCH(VALUE(BK284)/100,Constants!$A:$A,0))),IF(BK284&lt;60,INDEX(Constants!$C:$C,MATCH(VALUE(60)/100,Constants!$A:$A,0)),INDEX(Constants!$C:$C,MATCH(VALUE(BK284)/100,Constants!$A:$A,0)))),""),""))</f>
        <v/>
      </c>
      <c r="BJ284" s="147" t="str">
        <f t="shared" si="121"/>
        <v/>
      </c>
      <c r="BK284" s="147" t="str">
        <f>_xlfn.IFNA(VALUE(INDEX(Producer!$E:$E,MATCH($D284,Producer!$A:$A,0)))*100,"")</f>
        <v/>
      </c>
      <c r="BL284" s="146" t="str">
        <f>_xlfn.IFNA(IF(IFERROR(FIND("Part &amp; Part",B284),-10)&gt;0,"PP",IF(OR(LEFT(B284,25)="Residential Interest Only",INDEX(Producer!$P:$P,MATCH($D284,Producer!$A:$A,0))="IO",INDEX(Producer!$P:$P,MATCH($D284,Producer!$A:$A,0))="Retirement Interest Only"),"IO",IF($C284="BuyToLet","CI, IO","CI"))),"")</f>
        <v/>
      </c>
      <c r="BM284" s="152" t="str">
        <f>_xlfn.IFNA(IF(BL284="IO",100%,IF(AND(INDEX(Producer!$P:$P,MATCH($D284,Producer!$A:$A,0))="Residential Interest Only Part &amp; Part",BK284=75),80%,IF(C284="BuyToLet",100%,IF(BL284="Interest Only",100%,IF(AND(INDEX(Producer!$P:$P,MATCH($D284,Producer!$A:$A,0))="Residential Interest Only Part &amp; Part",BK284=60),100%,""))))),"")</f>
        <v/>
      </c>
      <c r="BN284" s="218" t="str">
        <f>_xlfn.IFNA(IF(VALUE(INDEX(Producer!$H:$H,MATCH($D284,Producer!$A:$A,0)))=0,"",VALUE(INDEX(Producer!$H:$H,MATCH($D284,Producer!$A:$A,0)))),"")</f>
        <v/>
      </c>
      <c r="BO284" s="153"/>
      <c r="BP284" s="153"/>
      <c r="BQ284" s="219" t="str">
        <f t="shared" si="122"/>
        <v/>
      </c>
      <c r="BR284" s="146"/>
      <c r="BS284" s="146"/>
      <c r="BT284" s="146"/>
      <c r="BU284" s="146"/>
      <c r="BV284" s="219" t="str">
        <f t="shared" si="123"/>
        <v/>
      </c>
      <c r="BW284" s="146"/>
      <c r="BX284" s="146"/>
      <c r="BY284" s="146" t="str">
        <f t="shared" si="124"/>
        <v/>
      </c>
      <c r="BZ284" s="146" t="str">
        <f t="shared" si="125"/>
        <v/>
      </c>
      <c r="CA284" s="146" t="str">
        <f t="shared" si="126"/>
        <v/>
      </c>
      <c r="CB284" s="146" t="str">
        <f t="shared" si="127"/>
        <v/>
      </c>
      <c r="CC284" s="146" t="str">
        <f>_xlfn.IFNA(IF(INDEX(Producer!$P:$P,MATCH($D284,Producer!$A:$A,0))="Help to Buy","Only available","No"),"")</f>
        <v/>
      </c>
      <c r="CD284" s="146" t="str">
        <f>_xlfn.IFNA(IF(INDEX(Producer!$P:$P,MATCH($D284,Producer!$A:$A,0))="Shared Ownership","Only available","No"),"")</f>
        <v/>
      </c>
      <c r="CE284" s="146" t="str">
        <f>_xlfn.IFNA(IF(INDEX(Producer!$P:$P,MATCH($D284,Producer!$A:$A,0))="Right to Buy","Only available","No"),"")</f>
        <v/>
      </c>
      <c r="CF284" s="146" t="str">
        <f t="shared" si="128"/>
        <v/>
      </c>
      <c r="CG284" s="146" t="str">
        <f>_xlfn.IFNA(IF(INDEX(Producer!$P:$P,MATCH($D284,Producer!$A:$A,0))="Retirement Interest Only","Only available","No"),"")</f>
        <v/>
      </c>
      <c r="CH284" s="146" t="str">
        <f t="shared" si="129"/>
        <v/>
      </c>
      <c r="CI284" s="146" t="str">
        <f>_xlfn.IFNA(IF(INDEX(Producer!$P:$P,MATCH($D284,Producer!$A:$A,0))="Intermediary Holiday Let","Only available","No"),"")</f>
        <v/>
      </c>
      <c r="CJ284" s="146" t="str">
        <f t="shared" si="130"/>
        <v/>
      </c>
      <c r="CK284" s="146" t="str">
        <f>_xlfn.IFNA(IF(OR(INDEX(Producer!$P:$P,MATCH($D284,Producer!$A:$A,0))="Intermediary Small HMO",INDEX(Producer!$P:$P,MATCH($D284,Producer!$A:$A,0))="Intermediary Large HMO"),"Only available","No"),"")</f>
        <v/>
      </c>
      <c r="CL284" s="146" t="str">
        <f t="shared" si="131"/>
        <v/>
      </c>
      <c r="CM284" s="146" t="str">
        <f t="shared" si="132"/>
        <v/>
      </c>
      <c r="CN284" s="146" t="str">
        <f t="shared" si="133"/>
        <v/>
      </c>
      <c r="CO284" s="146" t="str">
        <f t="shared" si="134"/>
        <v/>
      </c>
      <c r="CP284" s="146" t="str">
        <f t="shared" si="135"/>
        <v/>
      </c>
      <c r="CQ284" s="146" t="str">
        <f t="shared" si="136"/>
        <v/>
      </c>
      <c r="CR284" s="146" t="str">
        <f t="shared" si="137"/>
        <v/>
      </c>
      <c r="CS284" s="146" t="str">
        <f t="shared" si="138"/>
        <v/>
      </c>
      <c r="CT284" s="146" t="str">
        <f t="shared" si="139"/>
        <v/>
      </c>
      <c r="CU284" s="146"/>
    </row>
    <row r="285" spans="1:99" ht="16.399999999999999" customHeight="1" x14ac:dyDescent="0.35">
      <c r="A285" s="145" t="str">
        <f t="shared" si="112"/>
        <v/>
      </c>
      <c r="B285" s="145" t="str">
        <f>_xlfn.IFNA(_xlfn.CONCAT(INDEX(Producer!$P:$P,MATCH($D285,Producer!$A:$A,0))," ",IF(INDEX(Producer!$N:$N,MATCH($D285,Producer!$A:$A,0))="Yes","Green ",""),IF(AND(INDEX(Producer!$L:$L,MATCH($D285,Producer!$A:$A,0))="No",INDEX(Producer!$C:$C,MATCH($D285,Producer!$A:$A,0))="Fixed"),"Flexit ",""),INDEX(Producer!$B:$B,MATCH($D285,Producer!$A:$A,0))," Year ",INDEX(Producer!$C:$C,MATCH($D285,Producer!$A:$A,0))," ",VALUE(INDEX(Producer!$E:$E,MATCH($D285,Producer!$A:$A,0)))*100,"% LTV",IF(INDEX(Producer!$N:$N,MATCH($D285,Producer!$A:$A,0))="Yes"," (EPC A-C)","")," - ",IF(INDEX(Producer!$D:$D,MATCH($D285,Producer!$A:$A,0))="DLY","Daily","Annual")),"")</f>
        <v/>
      </c>
      <c r="C285" s="146" t="str">
        <f>_xlfn.IFNA(INDEX(Producer!$Q:$Q,MATCH($D285,Producer!$A:$A,0)),"")</f>
        <v/>
      </c>
      <c r="D285" s="146" t="str">
        <f>IFERROR(VALUE(MID(Producer!$R$2,IF($D284="",1/0,FIND(_xlfn.CONCAT($D283,$D284),Producer!$R$2)+10),5)),"")</f>
        <v/>
      </c>
      <c r="E285" s="146" t="str">
        <f t="shared" si="113"/>
        <v/>
      </c>
      <c r="F285" s="146"/>
      <c r="G285" s="147" t="str">
        <f>_xlfn.IFNA(VALUE(INDEX(Producer!$F:$F,MATCH($D285,Producer!$A:$A,0)))*100,"")</f>
        <v/>
      </c>
      <c r="H285" s="216" t="str">
        <f>_xlfn.IFNA(IFERROR(DATEVALUE(INDEX(Producer!$M:$M,MATCH($D285,Producer!$A:$A,0))),(INDEX(Producer!$M:$M,MATCH($D285,Producer!$A:$A,0)))),"")</f>
        <v/>
      </c>
      <c r="I285" s="217" t="str">
        <f>_xlfn.IFNA(VALUE(INDEX(Producer!$B:$B,MATCH($D285,Producer!$A:$A,0)))*12,"")</f>
        <v/>
      </c>
      <c r="J285" s="146" t="str">
        <f>_xlfn.IFNA(IF(C285="Residential",IF(VALUE(INDEX(Producer!$B:$B,MATCH($D285,Producer!$A:$A,0)))&lt;5,Constants!$C$10,""),IF(VALUE(INDEX(Producer!$B:$B,MATCH($D285,Producer!$A:$A,0)))&lt;5,Constants!$C$11,"")),"")</f>
        <v/>
      </c>
      <c r="K285" s="216" t="str">
        <f>_xlfn.IFNA(IF(($I285)&lt;60,DATE(YEAR(H285)+(5-VALUE(INDEX(Producer!$B:$B,MATCH($D285,Producer!$A:$A,0)))),MONTH(H285),DAY(H285)),""),"")</f>
        <v/>
      </c>
      <c r="L285" s="153" t="str">
        <f t="shared" si="114"/>
        <v/>
      </c>
      <c r="M285" s="146"/>
      <c r="N285" s="148"/>
      <c r="O285" s="148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  <c r="AA285" s="146"/>
      <c r="AB285" s="146"/>
      <c r="AC285" s="146"/>
      <c r="AD285" s="146"/>
      <c r="AE285" s="146"/>
      <c r="AF285" s="146"/>
      <c r="AG285" s="146"/>
      <c r="AH285" s="146"/>
      <c r="AI285" s="146"/>
      <c r="AJ285" s="146"/>
      <c r="AK285" s="146" t="str">
        <f>IF(D285="","",IF(C285="Residential",Constants!$B$10,Constants!$B$11))</f>
        <v/>
      </c>
      <c r="AL285" s="146" t="str">
        <f t="shared" si="115"/>
        <v/>
      </c>
      <c r="AM285" s="206" t="str">
        <f t="shared" si="116"/>
        <v/>
      </c>
      <c r="AN285" s="146" t="str">
        <f t="shared" si="117"/>
        <v/>
      </c>
      <c r="AO285" s="149" t="str">
        <f t="shared" si="118"/>
        <v/>
      </c>
      <c r="AP285" s="150" t="str">
        <f t="shared" si="119"/>
        <v/>
      </c>
      <c r="AQ285" s="146" t="str">
        <f>IFERROR(_xlfn.IFNA(IF($BA285="No",0,IF(INDEX(Constants!B:B,MATCH(($I285/12),Constants!$A:$A,0))=0,0,INDEX(Constants!B:B,MATCH(($I285/12),Constants!$A:$A,0)))),0),"")</f>
        <v/>
      </c>
      <c r="AR285" s="146" t="str">
        <f>IFERROR(_xlfn.IFNA(IF($BA285="No",0,IF(INDEX(Constants!C:C,MATCH(($I285/12),Constants!$A:$A,0))=0,0,INDEX(Constants!C:C,MATCH(($I285/12),Constants!$A:$A,0)))),0),"")</f>
        <v/>
      </c>
      <c r="AS285" s="146" t="str">
        <f>IFERROR(_xlfn.IFNA(IF($BA285="No",0,IF(INDEX(Constants!D:D,MATCH(($I285/12),Constants!$A:$A,0))=0,0,INDEX(Constants!D:D,MATCH(($I285/12),Constants!$A:$A,0)))),0),"")</f>
        <v/>
      </c>
      <c r="AT285" s="146" t="str">
        <f>IFERROR(_xlfn.IFNA(IF($BA285="No",0,IF(INDEX(Constants!E:E,MATCH(($I285/12),Constants!$A:$A,0))=0,0,INDEX(Constants!E:E,MATCH(($I285/12),Constants!$A:$A,0)))),0),"")</f>
        <v/>
      </c>
      <c r="AU285" s="146" t="str">
        <f>IFERROR(_xlfn.IFNA(IF($BA285="No",0,IF(INDEX(Constants!F:F,MATCH(($I285/12),Constants!$A:$A,0))=0,0,INDEX(Constants!F:F,MATCH(($I285/12),Constants!$A:$A,0)))),0),"")</f>
        <v/>
      </c>
      <c r="AV285" s="146" t="str">
        <f>IFERROR(_xlfn.IFNA(IF($BA285="No",0,IF(INDEX(Constants!G:G,MATCH(($I285/12),Constants!$A:$A,0))=0,0,INDEX(Constants!G:G,MATCH(($I285/12),Constants!$A:$A,0)))),0),"")</f>
        <v/>
      </c>
      <c r="AW285" s="146" t="str">
        <f>IFERROR(_xlfn.IFNA(IF($BA285="No",0,IF(INDEX(Constants!H:H,MATCH(($I285/12),Constants!$A:$A,0))=0,0,INDEX(Constants!H:H,MATCH(($I285/12),Constants!$A:$A,0)))),0),"")</f>
        <v/>
      </c>
      <c r="AX285" s="146" t="str">
        <f>IFERROR(_xlfn.IFNA(IF($BA285="No",0,IF(INDEX(Constants!I:I,MATCH(($I285/12),Constants!$A:$A,0))=0,0,INDEX(Constants!I:I,MATCH(($I285/12),Constants!$A:$A,0)))),0),"")</f>
        <v/>
      </c>
      <c r="AY285" s="146" t="str">
        <f>IFERROR(_xlfn.IFNA(IF($BA285="No",0,IF(INDEX(Constants!J:J,MATCH(($I285/12),Constants!$A:$A,0))=0,0,INDEX(Constants!J:J,MATCH(($I285/12),Constants!$A:$A,0)))),0),"")</f>
        <v/>
      </c>
      <c r="AZ285" s="146" t="str">
        <f>IFERROR(_xlfn.IFNA(IF($BA285="No",0,IF(INDEX(Constants!K:K,MATCH(($I285/12),Constants!$A:$A,0))=0,0,INDEX(Constants!K:K,MATCH(($I285/12),Constants!$A:$A,0)))),0),"")</f>
        <v/>
      </c>
      <c r="BA285" s="147" t="str">
        <f>_xlfn.IFNA(INDEX(Producer!$L:$L,MATCH($D285,Producer!$A:$A,0)),"")</f>
        <v/>
      </c>
      <c r="BB285" s="146" t="str">
        <f>IFERROR(IF(AQ285=0,"",IF(($I285/12)=15,_xlfn.CONCAT(Constants!$N$7,TEXT(DATE(YEAR(H285)-(($I285/12)-3),MONTH(H285),DAY(H285)),"dd/mm/yyyy"),", ",Constants!$P$7,TEXT(DATE(YEAR(H285)-(($I285/12)-8),MONTH(H285),DAY(H285)),"dd/mm/yyyy"),", ",Constants!$T$7,TEXT(DATE(YEAR(H285)-(($I285/12)-11),MONTH(H285),DAY(H285)),"dd/mm/yyyy"),", ",Constants!$V$7,TEXT(DATE(YEAR(H285)-(($I285/12)-13),MONTH(H285),DAY(H285)),"dd/mm/yyyy"),", ",Constants!$W$7,TEXT($H285,"dd/mm/yyyy")),IF(($I285/12)=10,_xlfn.CONCAT(Constants!$N$6,TEXT(DATE(YEAR(H285)-(($I285/12)-2),MONTH(H285),DAY(H285)),"dd/mm/yyyy"),", ",Constants!$P$6,TEXT(DATE(YEAR(H285)-(($I285/12)-6),MONTH(H285),DAY(H285)),"dd/mm/yyyy"),", ",Constants!$T$6,TEXT(DATE(YEAR(H285)-(($I285/12)-8),MONTH(H285),DAY(H285)),"dd/mm/yyyy"),", ",Constants!$V$6,TEXT(DATE(YEAR(H285)-(($I285/12)-9),MONTH(H285),DAY(H285)),"dd/mm/yyyy"),", ",Constants!$W$6,TEXT($H285,"dd/mm/yyyy")),IF(($I285/12)=5,_xlfn.CONCAT(Constants!$N$5,TEXT(DATE(YEAR(H285)-(($I285/12)-1),MONTH(H285),DAY(H285)),"dd/mm/yyyy"),", ",Constants!$O$5,TEXT(DATE(YEAR(H285)-(($I285/12)-2),MONTH(H285),DAY(H285)),"dd/mm/yyyy"),", ",Constants!$P$5,TEXT(DATE(YEAR(H285)-(($I285/12)-3),MONTH(H285),DAY(H285)),"dd/mm/yyyy"),", ",Constants!$Q$5,TEXT(DATE(YEAR(H285)-(($I285/12)-4),MONTH(H285),DAY(H285)),"dd/mm/yyyy"),", ",Constants!$R$5,TEXT($H285,"dd/mm/yyyy")),IF(($I285/12)=3,_xlfn.CONCAT(Constants!$N$4,TEXT(DATE(YEAR(H285)-(($I285/12)-1),MONTH(H285),DAY(H285)),"dd/mm/yyyy"),", ",Constants!$O$4,TEXT(DATE(YEAR(H285)-(($I285/12)-2),MONTH(H285),DAY(H285)),"dd/mm/yyyy"),", ",Constants!$P$4,TEXT($H285,"dd/mm/yyyy")),IF(($I285/12)=2,_xlfn.CONCAT(Constants!$N$3,TEXT(DATE(YEAR(H285)-(($I285/12)-1),MONTH(H285),DAY(H285)),"dd/mm/yyyy"),", ",Constants!$O$3,TEXT($H285,"dd/mm/yyyy")),IF(($I285/12)=1,_xlfn.CONCAT(Constants!$N$2,TEXT($H285,"dd/mm/yyyy")),"Update Constants"))))))),"")</f>
        <v/>
      </c>
      <c r="BC285" s="147" t="str">
        <f>_xlfn.IFNA(VALUE(INDEX(Producer!$K:$K,MATCH($D285,Producer!$A:$A,0))),"")</f>
        <v/>
      </c>
      <c r="BD285" s="147" t="str">
        <f>_xlfn.IFNA(INDEX(Producer!$I:$I,MATCH($D285,Producer!$A:$A,0)),"")</f>
        <v/>
      </c>
      <c r="BE285" s="147" t="str">
        <f t="shared" si="120"/>
        <v/>
      </c>
      <c r="BF285" s="147"/>
      <c r="BG285" s="147"/>
      <c r="BH285" s="151" t="str">
        <f>_xlfn.IFNA(INDEX(Constants!$B:$B,MATCH(BC285,Constants!A:A,0)),"")</f>
        <v/>
      </c>
      <c r="BI285" s="147" t="str">
        <f>IF(LEFT(B285,15)="Limited Company",Constants!$D$16,IFERROR(_xlfn.IFNA(IF(C285="Residential",IF(BK285&lt;75,INDEX(Constants!$B:$B,MATCH(VALUE(60)/100,Constants!$A:$A,0)),INDEX(Constants!$B:$B,MATCH(VALUE(BK285)/100,Constants!$A:$A,0))),IF(BK285&lt;60,INDEX(Constants!$C:$C,MATCH(VALUE(60)/100,Constants!$A:$A,0)),INDEX(Constants!$C:$C,MATCH(VALUE(BK285)/100,Constants!$A:$A,0)))),""),""))</f>
        <v/>
      </c>
      <c r="BJ285" s="147" t="str">
        <f t="shared" si="121"/>
        <v/>
      </c>
      <c r="BK285" s="147" t="str">
        <f>_xlfn.IFNA(VALUE(INDEX(Producer!$E:$E,MATCH($D285,Producer!$A:$A,0)))*100,"")</f>
        <v/>
      </c>
      <c r="BL285" s="146" t="str">
        <f>_xlfn.IFNA(IF(IFERROR(FIND("Part &amp; Part",B285),-10)&gt;0,"PP",IF(OR(LEFT(B285,25)="Residential Interest Only",INDEX(Producer!$P:$P,MATCH($D285,Producer!$A:$A,0))="IO",INDEX(Producer!$P:$P,MATCH($D285,Producer!$A:$A,0))="Retirement Interest Only"),"IO",IF($C285="BuyToLet","CI, IO","CI"))),"")</f>
        <v/>
      </c>
      <c r="BM285" s="152" t="str">
        <f>_xlfn.IFNA(IF(BL285="IO",100%,IF(AND(INDEX(Producer!$P:$P,MATCH($D285,Producer!$A:$A,0))="Residential Interest Only Part &amp; Part",BK285=75),80%,IF(C285="BuyToLet",100%,IF(BL285="Interest Only",100%,IF(AND(INDEX(Producer!$P:$P,MATCH($D285,Producer!$A:$A,0))="Residential Interest Only Part &amp; Part",BK285=60),100%,""))))),"")</f>
        <v/>
      </c>
      <c r="BN285" s="218" t="str">
        <f>_xlfn.IFNA(IF(VALUE(INDEX(Producer!$H:$H,MATCH($D285,Producer!$A:$A,0)))=0,"",VALUE(INDEX(Producer!$H:$H,MATCH($D285,Producer!$A:$A,0)))),"")</f>
        <v/>
      </c>
      <c r="BO285" s="153"/>
      <c r="BP285" s="153"/>
      <c r="BQ285" s="219" t="str">
        <f t="shared" si="122"/>
        <v/>
      </c>
      <c r="BR285" s="146"/>
      <c r="BS285" s="146"/>
      <c r="BT285" s="146"/>
      <c r="BU285" s="146"/>
      <c r="BV285" s="219" t="str">
        <f t="shared" si="123"/>
        <v/>
      </c>
      <c r="BW285" s="146"/>
      <c r="BX285" s="146"/>
      <c r="BY285" s="146" t="str">
        <f t="shared" si="124"/>
        <v/>
      </c>
      <c r="BZ285" s="146" t="str">
        <f t="shared" si="125"/>
        <v/>
      </c>
      <c r="CA285" s="146" t="str">
        <f t="shared" si="126"/>
        <v/>
      </c>
      <c r="CB285" s="146" t="str">
        <f t="shared" si="127"/>
        <v/>
      </c>
      <c r="CC285" s="146" t="str">
        <f>_xlfn.IFNA(IF(INDEX(Producer!$P:$P,MATCH($D285,Producer!$A:$A,0))="Help to Buy","Only available","No"),"")</f>
        <v/>
      </c>
      <c r="CD285" s="146" t="str">
        <f>_xlfn.IFNA(IF(INDEX(Producer!$P:$P,MATCH($D285,Producer!$A:$A,0))="Shared Ownership","Only available","No"),"")</f>
        <v/>
      </c>
      <c r="CE285" s="146" t="str">
        <f>_xlfn.IFNA(IF(INDEX(Producer!$P:$P,MATCH($D285,Producer!$A:$A,0))="Right to Buy","Only available","No"),"")</f>
        <v/>
      </c>
      <c r="CF285" s="146" t="str">
        <f t="shared" si="128"/>
        <v/>
      </c>
      <c r="CG285" s="146" t="str">
        <f>_xlfn.IFNA(IF(INDEX(Producer!$P:$P,MATCH($D285,Producer!$A:$A,0))="Retirement Interest Only","Only available","No"),"")</f>
        <v/>
      </c>
      <c r="CH285" s="146" t="str">
        <f t="shared" si="129"/>
        <v/>
      </c>
      <c r="CI285" s="146" t="str">
        <f>_xlfn.IFNA(IF(INDEX(Producer!$P:$P,MATCH($D285,Producer!$A:$A,0))="Intermediary Holiday Let","Only available","No"),"")</f>
        <v/>
      </c>
      <c r="CJ285" s="146" t="str">
        <f t="shared" si="130"/>
        <v/>
      </c>
      <c r="CK285" s="146" t="str">
        <f>_xlfn.IFNA(IF(OR(INDEX(Producer!$P:$P,MATCH($D285,Producer!$A:$A,0))="Intermediary Small HMO",INDEX(Producer!$P:$P,MATCH($D285,Producer!$A:$A,0))="Intermediary Large HMO"),"Only available","No"),"")</f>
        <v/>
      </c>
      <c r="CL285" s="146" t="str">
        <f t="shared" si="131"/>
        <v/>
      </c>
      <c r="CM285" s="146" t="str">
        <f t="shared" si="132"/>
        <v/>
      </c>
      <c r="CN285" s="146" t="str">
        <f t="shared" si="133"/>
        <v/>
      </c>
      <c r="CO285" s="146" t="str">
        <f t="shared" si="134"/>
        <v/>
      </c>
      <c r="CP285" s="146" t="str">
        <f t="shared" si="135"/>
        <v/>
      </c>
      <c r="CQ285" s="146" t="str">
        <f t="shared" si="136"/>
        <v/>
      </c>
      <c r="CR285" s="146" t="str">
        <f t="shared" si="137"/>
        <v/>
      </c>
      <c r="CS285" s="146" t="str">
        <f t="shared" si="138"/>
        <v/>
      </c>
      <c r="CT285" s="146" t="str">
        <f t="shared" si="139"/>
        <v/>
      </c>
      <c r="CU285" s="146"/>
    </row>
    <row r="286" spans="1:99" ht="16.399999999999999" customHeight="1" x14ac:dyDescent="0.35">
      <c r="A286" s="145" t="str">
        <f t="shared" si="112"/>
        <v/>
      </c>
      <c r="B286" s="145" t="str">
        <f>_xlfn.IFNA(_xlfn.CONCAT(INDEX(Producer!$P:$P,MATCH($D286,Producer!$A:$A,0))," ",IF(INDEX(Producer!$N:$N,MATCH($D286,Producer!$A:$A,0))="Yes","Green ",""),IF(AND(INDEX(Producer!$L:$L,MATCH($D286,Producer!$A:$A,0))="No",INDEX(Producer!$C:$C,MATCH($D286,Producer!$A:$A,0))="Fixed"),"Flexit ",""),INDEX(Producer!$B:$B,MATCH($D286,Producer!$A:$A,0))," Year ",INDEX(Producer!$C:$C,MATCH($D286,Producer!$A:$A,0))," ",VALUE(INDEX(Producer!$E:$E,MATCH($D286,Producer!$A:$A,0)))*100,"% LTV",IF(INDEX(Producer!$N:$N,MATCH($D286,Producer!$A:$A,0))="Yes"," (EPC A-C)","")," - ",IF(INDEX(Producer!$D:$D,MATCH($D286,Producer!$A:$A,0))="DLY","Daily","Annual")),"")</f>
        <v/>
      </c>
      <c r="C286" s="146" t="str">
        <f>_xlfn.IFNA(INDEX(Producer!$Q:$Q,MATCH($D286,Producer!$A:$A,0)),"")</f>
        <v/>
      </c>
      <c r="D286" s="146" t="str">
        <f>IFERROR(VALUE(MID(Producer!$R$2,IF($D285="",1/0,FIND(_xlfn.CONCAT($D284,$D285),Producer!$R$2)+10),5)),"")</f>
        <v/>
      </c>
      <c r="E286" s="146" t="str">
        <f t="shared" si="113"/>
        <v/>
      </c>
      <c r="F286" s="146"/>
      <c r="G286" s="147" t="str">
        <f>_xlfn.IFNA(VALUE(INDEX(Producer!$F:$F,MATCH($D286,Producer!$A:$A,0)))*100,"")</f>
        <v/>
      </c>
      <c r="H286" s="216" t="str">
        <f>_xlfn.IFNA(IFERROR(DATEVALUE(INDEX(Producer!$M:$M,MATCH($D286,Producer!$A:$A,0))),(INDEX(Producer!$M:$M,MATCH($D286,Producer!$A:$A,0)))),"")</f>
        <v/>
      </c>
      <c r="I286" s="217" t="str">
        <f>_xlfn.IFNA(VALUE(INDEX(Producer!$B:$B,MATCH($D286,Producer!$A:$A,0)))*12,"")</f>
        <v/>
      </c>
      <c r="J286" s="146" t="str">
        <f>_xlfn.IFNA(IF(C286="Residential",IF(VALUE(INDEX(Producer!$B:$B,MATCH($D286,Producer!$A:$A,0)))&lt;5,Constants!$C$10,""),IF(VALUE(INDEX(Producer!$B:$B,MATCH($D286,Producer!$A:$A,0)))&lt;5,Constants!$C$11,"")),"")</f>
        <v/>
      </c>
      <c r="K286" s="216" t="str">
        <f>_xlfn.IFNA(IF(($I286)&lt;60,DATE(YEAR(H286)+(5-VALUE(INDEX(Producer!$B:$B,MATCH($D286,Producer!$A:$A,0)))),MONTH(H286),DAY(H286)),""),"")</f>
        <v/>
      </c>
      <c r="L286" s="153" t="str">
        <f t="shared" si="114"/>
        <v/>
      </c>
      <c r="M286" s="146"/>
      <c r="N286" s="148"/>
      <c r="O286" s="148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  <c r="AA286" s="146"/>
      <c r="AB286" s="146"/>
      <c r="AC286" s="146"/>
      <c r="AD286" s="146"/>
      <c r="AE286" s="146"/>
      <c r="AF286" s="146"/>
      <c r="AG286" s="146"/>
      <c r="AH286" s="146"/>
      <c r="AI286" s="146"/>
      <c r="AJ286" s="146"/>
      <c r="AK286" s="146" t="str">
        <f>IF(D286="","",IF(C286="Residential",Constants!$B$10,Constants!$B$11))</f>
        <v/>
      </c>
      <c r="AL286" s="146" t="str">
        <f t="shared" si="115"/>
        <v/>
      </c>
      <c r="AM286" s="206" t="str">
        <f t="shared" si="116"/>
        <v/>
      </c>
      <c r="AN286" s="146" t="str">
        <f t="shared" si="117"/>
        <v/>
      </c>
      <c r="AO286" s="149" t="str">
        <f t="shared" si="118"/>
        <v/>
      </c>
      <c r="AP286" s="150" t="str">
        <f t="shared" si="119"/>
        <v/>
      </c>
      <c r="AQ286" s="146" t="str">
        <f>IFERROR(_xlfn.IFNA(IF($BA286="No",0,IF(INDEX(Constants!B:B,MATCH(($I286/12),Constants!$A:$A,0))=0,0,INDEX(Constants!B:B,MATCH(($I286/12),Constants!$A:$A,0)))),0),"")</f>
        <v/>
      </c>
      <c r="AR286" s="146" t="str">
        <f>IFERROR(_xlfn.IFNA(IF($BA286="No",0,IF(INDEX(Constants!C:C,MATCH(($I286/12),Constants!$A:$A,0))=0,0,INDEX(Constants!C:C,MATCH(($I286/12),Constants!$A:$A,0)))),0),"")</f>
        <v/>
      </c>
      <c r="AS286" s="146" t="str">
        <f>IFERROR(_xlfn.IFNA(IF($BA286="No",0,IF(INDEX(Constants!D:D,MATCH(($I286/12),Constants!$A:$A,0))=0,0,INDEX(Constants!D:D,MATCH(($I286/12),Constants!$A:$A,0)))),0),"")</f>
        <v/>
      </c>
      <c r="AT286" s="146" t="str">
        <f>IFERROR(_xlfn.IFNA(IF($BA286="No",0,IF(INDEX(Constants!E:E,MATCH(($I286/12),Constants!$A:$A,0))=0,0,INDEX(Constants!E:E,MATCH(($I286/12),Constants!$A:$A,0)))),0),"")</f>
        <v/>
      </c>
      <c r="AU286" s="146" t="str">
        <f>IFERROR(_xlfn.IFNA(IF($BA286="No",0,IF(INDEX(Constants!F:F,MATCH(($I286/12),Constants!$A:$A,0))=0,0,INDEX(Constants!F:F,MATCH(($I286/12),Constants!$A:$A,0)))),0),"")</f>
        <v/>
      </c>
      <c r="AV286" s="146" t="str">
        <f>IFERROR(_xlfn.IFNA(IF($BA286="No",0,IF(INDEX(Constants!G:G,MATCH(($I286/12),Constants!$A:$A,0))=0,0,INDEX(Constants!G:G,MATCH(($I286/12),Constants!$A:$A,0)))),0),"")</f>
        <v/>
      </c>
      <c r="AW286" s="146" t="str">
        <f>IFERROR(_xlfn.IFNA(IF($BA286="No",0,IF(INDEX(Constants!H:H,MATCH(($I286/12),Constants!$A:$A,0))=0,0,INDEX(Constants!H:H,MATCH(($I286/12),Constants!$A:$A,0)))),0),"")</f>
        <v/>
      </c>
      <c r="AX286" s="146" t="str">
        <f>IFERROR(_xlfn.IFNA(IF($BA286="No",0,IF(INDEX(Constants!I:I,MATCH(($I286/12),Constants!$A:$A,0))=0,0,INDEX(Constants!I:I,MATCH(($I286/12),Constants!$A:$A,0)))),0),"")</f>
        <v/>
      </c>
      <c r="AY286" s="146" t="str">
        <f>IFERROR(_xlfn.IFNA(IF($BA286="No",0,IF(INDEX(Constants!J:J,MATCH(($I286/12),Constants!$A:$A,0))=0,0,INDEX(Constants!J:J,MATCH(($I286/12),Constants!$A:$A,0)))),0),"")</f>
        <v/>
      </c>
      <c r="AZ286" s="146" t="str">
        <f>IFERROR(_xlfn.IFNA(IF($BA286="No",0,IF(INDEX(Constants!K:K,MATCH(($I286/12),Constants!$A:$A,0))=0,0,INDEX(Constants!K:K,MATCH(($I286/12),Constants!$A:$A,0)))),0),"")</f>
        <v/>
      </c>
      <c r="BA286" s="147" t="str">
        <f>_xlfn.IFNA(INDEX(Producer!$L:$L,MATCH($D286,Producer!$A:$A,0)),"")</f>
        <v/>
      </c>
      <c r="BB286" s="146" t="str">
        <f>IFERROR(IF(AQ286=0,"",IF(($I286/12)=15,_xlfn.CONCAT(Constants!$N$7,TEXT(DATE(YEAR(H286)-(($I286/12)-3),MONTH(H286),DAY(H286)),"dd/mm/yyyy"),", ",Constants!$P$7,TEXT(DATE(YEAR(H286)-(($I286/12)-8),MONTH(H286),DAY(H286)),"dd/mm/yyyy"),", ",Constants!$T$7,TEXT(DATE(YEAR(H286)-(($I286/12)-11),MONTH(H286),DAY(H286)),"dd/mm/yyyy"),", ",Constants!$V$7,TEXT(DATE(YEAR(H286)-(($I286/12)-13),MONTH(H286),DAY(H286)),"dd/mm/yyyy"),", ",Constants!$W$7,TEXT($H286,"dd/mm/yyyy")),IF(($I286/12)=10,_xlfn.CONCAT(Constants!$N$6,TEXT(DATE(YEAR(H286)-(($I286/12)-2),MONTH(H286),DAY(H286)),"dd/mm/yyyy"),", ",Constants!$P$6,TEXT(DATE(YEAR(H286)-(($I286/12)-6),MONTH(H286),DAY(H286)),"dd/mm/yyyy"),", ",Constants!$T$6,TEXT(DATE(YEAR(H286)-(($I286/12)-8),MONTH(H286),DAY(H286)),"dd/mm/yyyy"),", ",Constants!$V$6,TEXT(DATE(YEAR(H286)-(($I286/12)-9),MONTH(H286),DAY(H286)),"dd/mm/yyyy"),", ",Constants!$W$6,TEXT($H286,"dd/mm/yyyy")),IF(($I286/12)=5,_xlfn.CONCAT(Constants!$N$5,TEXT(DATE(YEAR(H286)-(($I286/12)-1),MONTH(H286),DAY(H286)),"dd/mm/yyyy"),", ",Constants!$O$5,TEXT(DATE(YEAR(H286)-(($I286/12)-2),MONTH(H286),DAY(H286)),"dd/mm/yyyy"),", ",Constants!$P$5,TEXT(DATE(YEAR(H286)-(($I286/12)-3),MONTH(H286),DAY(H286)),"dd/mm/yyyy"),", ",Constants!$Q$5,TEXT(DATE(YEAR(H286)-(($I286/12)-4),MONTH(H286),DAY(H286)),"dd/mm/yyyy"),", ",Constants!$R$5,TEXT($H286,"dd/mm/yyyy")),IF(($I286/12)=3,_xlfn.CONCAT(Constants!$N$4,TEXT(DATE(YEAR(H286)-(($I286/12)-1),MONTH(H286),DAY(H286)),"dd/mm/yyyy"),", ",Constants!$O$4,TEXT(DATE(YEAR(H286)-(($I286/12)-2),MONTH(H286),DAY(H286)),"dd/mm/yyyy"),", ",Constants!$P$4,TEXT($H286,"dd/mm/yyyy")),IF(($I286/12)=2,_xlfn.CONCAT(Constants!$N$3,TEXT(DATE(YEAR(H286)-(($I286/12)-1),MONTH(H286),DAY(H286)),"dd/mm/yyyy"),", ",Constants!$O$3,TEXT($H286,"dd/mm/yyyy")),IF(($I286/12)=1,_xlfn.CONCAT(Constants!$N$2,TEXT($H286,"dd/mm/yyyy")),"Update Constants"))))))),"")</f>
        <v/>
      </c>
      <c r="BC286" s="147" t="str">
        <f>_xlfn.IFNA(VALUE(INDEX(Producer!$K:$K,MATCH($D286,Producer!$A:$A,0))),"")</f>
        <v/>
      </c>
      <c r="BD286" s="147" t="str">
        <f>_xlfn.IFNA(INDEX(Producer!$I:$I,MATCH($D286,Producer!$A:$A,0)),"")</f>
        <v/>
      </c>
      <c r="BE286" s="147" t="str">
        <f t="shared" si="120"/>
        <v/>
      </c>
      <c r="BF286" s="147"/>
      <c r="BG286" s="147"/>
      <c r="BH286" s="151" t="str">
        <f>_xlfn.IFNA(INDEX(Constants!$B:$B,MATCH(BC286,Constants!A:A,0)),"")</f>
        <v/>
      </c>
      <c r="BI286" s="147" t="str">
        <f>IF(LEFT(B286,15)="Limited Company",Constants!$D$16,IFERROR(_xlfn.IFNA(IF(C286="Residential",IF(BK286&lt;75,INDEX(Constants!$B:$B,MATCH(VALUE(60)/100,Constants!$A:$A,0)),INDEX(Constants!$B:$B,MATCH(VALUE(BK286)/100,Constants!$A:$A,0))),IF(BK286&lt;60,INDEX(Constants!$C:$C,MATCH(VALUE(60)/100,Constants!$A:$A,0)),INDEX(Constants!$C:$C,MATCH(VALUE(BK286)/100,Constants!$A:$A,0)))),""),""))</f>
        <v/>
      </c>
      <c r="BJ286" s="147" t="str">
        <f t="shared" si="121"/>
        <v/>
      </c>
      <c r="BK286" s="147" t="str">
        <f>_xlfn.IFNA(VALUE(INDEX(Producer!$E:$E,MATCH($D286,Producer!$A:$A,0)))*100,"")</f>
        <v/>
      </c>
      <c r="BL286" s="146" t="str">
        <f>_xlfn.IFNA(IF(IFERROR(FIND("Part &amp; Part",B286),-10)&gt;0,"PP",IF(OR(LEFT(B286,25)="Residential Interest Only",INDEX(Producer!$P:$P,MATCH($D286,Producer!$A:$A,0))="IO",INDEX(Producer!$P:$P,MATCH($D286,Producer!$A:$A,0))="Retirement Interest Only"),"IO",IF($C286="BuyToLet","CI, IO","CI"))),"")</f>
        <v/>
      </c>
      <c r="BM286" s="152" t="str">
        <f>_xlfn.IFNA(IF(BL286="IO",100%,IF(AND(INDEX(Producer!$P:$P,MATCH($D286,Producer!$A:$A,0))="Residential Interest Only Part &amp; Part",BK286=75),80%,IF(C286="BuyToLet",100%,IF(BL286="Interest Only",100%,IF(AND(INDEX(Producer!$P:$P,MATCH($D286,Producer!$A:$A,0))="Residential Interest Only Part &amp; Part",BK286=60),100%,""))))),"")</f>
        <v/>
      </c>
      <c r="BN286" s="218" t="str">
        <f>_xlfn.IFNA(IF(VALUE(INDEX(Producer!$H:$H,MATCH($D286,Producer!$A:$A,0)))=0,"",VALUE(INDEX(Producer!$H:$H,MATCH($D286,Producer!$A:$A,0)))),"")</f>
        <v/>
      </c>
      <c r="BO286" s="153"/>
      <c r="BP286" s="153"/>
      <c r="BQ286" s="219" t="str">
        <f t="shared" si="122"/>
        <v/>
      </c>
      <c r="BR286" s="146"/>
      <c r="BS286" s="146"/>
      <c r="BT286" s="146"/>
      <c r="BU286" s="146"/>
      <c r="BV286" s="219" t="str">
        <f t="shared" si="123"/>
        <v/>
      </c>
      <c r="BW286" s="146"/>
      <c r="BX286" s="146"/>
      <c r="BY286" s="146" t="str">
        <f t="shared" si="124"/>
        <v/>
      </c>
      <c r="BZ286" s="146" t="str">
        <f t="shared" si="125"/>
        <v/>
      </c>
      <c r="CA286" s="146" t="str">
        <f t="shared" si="126"/>
        <v/>
      </c>
      <c r="CB286" s="146" t="str">
        <f t="shared" si="127"/>
        <v/>
      </c>
      <c r="CC286" s="146" t="str">
        <f>_xlfn.IFNA(IF(INDEX(Producer!$P:$P,MATCH($D286,Producer!$A:$A,0))="Help to Buy","Only available","No"),"")</f>
        <v/>
      </c>
      <c r="CD286" s="146" t="str">
        <f>_xlfn.IFNA(IF(INDEX(Producer!$P:$P,MATCH($D286,Producer!$A:$A,0))="Shared Ownership","Only available","No"),"")</f>
        <v/>
      </c>
      <c r="CE286" s="146" t="str">
        <f>_xlfn.IFNA(IF(INDEX(Producer!$P:$P,MATCH($D286,Producer!$A:$A,0))="Right to Buy","Only available","No"),"")</f>
        <v/>
      </c>
      <c r="CF286" s="146" t="str">
        <f t="shared" si="128"/>
        <v/>
      </c>
      <c r="CG286" s="146" t="str">
        <f>_xlfn.IFNA(IF(INDEX(Producer!$P:$P,MATCH($D286,Producer!$A:$A,0))="Retirement Interest Only","Only available","No"),"")</f>
        <v/>
      </c>
      <c r="CH286" s="146" t="str">
        <f t="shared" si="129"/>
        <v/>
      </c>
      <c r="CI286" s="146" t="str">
        <f>_xlfn.IFNA(IF(INDEX(Producer!$P:$P,MATCH($D286,Producer!$A:$A,0))="Intermediary Holiday Let","Only available","No"),"")</f>
        <v/>
      </c>
      <c r="CJ286" s="146" t="str">
        <f t="shared" si="130"/>
        <v/>
      </c>
      <c r="CK286" s="146" t="str">
        <f>_xlfn.IFNA(IF(OR(INDEX(Producer!$P:$P,MATCH($D286,Producer!$A:$A,0))="Intermediary Small HMO",INDEX(Producer!$P:$P,MATCH($D286,Producer!$A:$A,0))="Intermediary Large HMO"),"Only available","No"),"")</f>
        <v/>
      </c>
      <c r="CL286" s="146" t="str">
        <f t="shared" si="131"/>
        <v/>
      </c>
      <c r="CM286" s="146" t="str">
        <f t="shared" si="132"/>
        <v/>
      </c>
      <c r="CN286" s="146" t="str">
        <f t="shared" si="133"/>
        <v/>
      </c>
      <c r="CO286" s="146" t="str">
        <f t="shared" si="134"/>
        <v/>
      </c>
      <c r="CP286" s="146" t="str">
        <f t="shared" si="135"/>
        <v/>
      </c>
      <c r="CQ286" s="146" t="str">
        <f t="shared" si="136"/>
        <v/>
      </c>
      <c r="CR286" s="146" t="str">
        <f t="shared" si="137"/>
        <v/>
      </c>
      <c r="CS286" s="146" t="str">
        <f t="shared" si="138"/>
        <v/>
      </c>
      <c r="CT286" s="146" t="str">
        <f t="shared" si="139"/>
        <v/>
      </c>
      <c r="CU286" s="146"/>
    </row>
    <row r="287" spans="1:99" ht="16.399999999999999" customHeight="1" x14ac:dyDescent="0.35">
      <c r="A287" s="145" t="str">
        <f t="shared" si="112"/>
        <v/>
      </c>
      <c r="B287" s="145" t="str">
        <f>_xlfn.IFNA(_xlfn.CONCAT(INDEX(Producer!$P:$P,MATCH($D287,Producer!$A:$A,0))," ",IF(INDEX(Producer!$N:$N,MATCH($D287,Producer!$A:$A,0))="Yes","Green ",""),IF(AND(INDEX(Producer!$L:$L,MATCH($D287,Producer!$A:$A,0))="No",INDEX(Producer!$C:$C,MATCH($D287,Producer!$A:$A,0))="Fixed"),"Flexit ",""),INDEX(Producer!$B:$B,MATCH($D287,Producer!$A:$A,0))," Year ",INDEX(Producer!$C:$C,MATCH($D287,Producer!$A:$A,0))," ",VALUE(INDEX(Producer!$E:$E,MATCH($D287,Producer!$A:$A,0)))*100,"% LTV",IF(INDEX(Producer!$N:$N,MATCH($D287,Producer!$A:$A,0))="Yes"," (EPC A-C)","")," - ",IF(INDEX(Producer!$D:$D,MATCH($D287,Producer!$A:$A,0))="DLY","Daily","Annual")),"")</f>
        <v/>
      </c>
      <c r="C287" s="146" t="str">
        <f>_xlfn.IFNA(INDEX(Producer!$Q:$Q,MATCH($D287,Producer!$A:$A,0)),"")</f>
        <v/>
      </c>
      <c r="D287" s="146" t="str">
        <f>IFERROR(VALUE(MID(Producer!$R$2,IF($D286="",1/0,FIND(_xlfn.CONCAT($D285,$D286),Producer!$R$2)+10),5)),"")</f>
        <v/>
      </c>
      <c r="E287" s="146" t="str">
        <f t="shared" si="113"/>
        <v/>
      </c>
      <c r="F287" s="146"/>
      <c r="G287" s="147" t="str">
        <f>_xlfn.IFNA(VALUE(INDEX(Producer!$F:$F,MATCH($D287,Producer!$A:$A,0)))*100,"")</f>
        <v/>
      </c>
      <c r="H287" s="216" t="str">
        <f>_xlfn.IFNA(IFERROR(DATEVALUE(INDEX(Producer!$M:$M,MATCH($D287,Producer!$A:$A,0))),(INDEX(Producer!$M:$M,MATCH($D287,Producer!$A:$A,0)))),"")</f>
        <v/>
      </c>
      <c r="I287" s="217" t="str">
        <f>_xlfn.IFNA(VALUE(INDEX(Producer!$B:$B,MATCH($D287,Producer!$A:$A,0)))*12,"")</f>
        <v/>
      </c>
      <c r="J287" s="146" t="str">
        <f>_xlfn.IFNA(IF(C287="Residential",IF(VALUE(INDEX(Producer!$B:$B,MATCH($D287,Producer!$A:$A,0)))&lt;5,Constants!$C$10,""),IF(VALUE(INDEX(Producer!$B:$B,MATCH($D287,Producer!$A:$A,0)))&lt;5,Constants!$C$11,"")),"")</f>
        <v/>
      </c>
      <c r="K287" s="216" t="str">
        <f>_xlfn.IFNA(IF(($I287)&lt;60,DATE(YEAR(H287)+(5-VALUE(INDEX(Producer!$B:$B,MATCH($D287,Producer!$A:$A,0)))),MONTH(H287),DAY(H287)),""),"")</f>
        <v/>
      </c>
      <c r="L287" s="153" t="str">
        <f t="shared" si="114"/>
        <v/>
      </c>
      <c r="M287" s="146"/>
      <c r="N287" s="148"/>
      <c r="O287" s="148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  <c r="AA287" s="146"/>
      <c r="AB287" s="146"/>
      <c r="AC287" s="146"/>
      <c r="AD287" s="146"/>
      <c r="AE287" s="146"/>
      <c r="AF287" s="146"/>
      <c r="AG287" s="146"/>
      <c r="AH287" s="146"/>
      <c r="AI287" s="146"/>
      <c r="AJ287" s="146"/>
      <c r="AK287" s="146" t="str">
        <f>IF(D287="","",IF(C287="Residential",Constants!$B$10,Constants!$B$11))</f>
        <v/>
      </c>
      <c r="AL287" s="146" t="str">
        <f t="shared" si="115"/>
        <v/>
      </c>
      <c r="AM287" s="206" t="str">
        <f t="shared" si="116"/>
        <v/>
      </c>
      <c r="AN287" s="146" t="str">
        <f t="shared" si="117"/>
        <v/>
      </c>
      <c r="AO287" s="149" t="str">
        <f t="shared" si="118"/>
        <v/>
      </c>
      <c r="AP287" s="150" t="str">
        <f t="shared" si="119"/>
        <v/>
      </c>
      <c r="AQ287" s="146" t="str">
        <f>IFERROR(_xlfn.IFNA(IF($BA287="No",0,IF(INDEX(Constants!B:B,MATCH(($I287/12),Constants!$A:$A,0))=0,0,INDEX(Constants!B:B,MATCH(($I287/12),Constants!$A:$A,0)))),0),"")</f>
        <v/>
      </c>
      <c r="AR287" s="146" t="str">
        <f>IFERROR(_xlfn.IFNA(IF($BA287="No",0,IF(INDEX(Constants!C:C,MATCH(($I287/12),Constants!$A:$A,0))=0,0,INDEX(Constants!C:C,MATCH(($I287/12),Constants!$A:$A,0)))),0),"")</f>
        <v/>
      </c>
      <c r="AS287" s="146" t="str">
        <f>IFERROR(_xlfn.IFNA(IF($BA287="No",0,IF(INDEX(Constants!D:D,MATCH(($I287/12),Constants!$A:$A,0))=0,0,INDEX(Constants!D:D,MATCH(($I287/12),Constants!$A:$A,0)))),0),"")</f>
        <v/>
      </c>
      <c r="AT287" s="146" t="str">
        <f>IFERROR(_xlfn.IFNA(IF($BA287="No",0,IF(INDEX(Constants!E:E,MATCH(($I287/12),Constants!$A:$A,0))=0,0,INDEX(Constants!E:E,MATCH(($I287/12),Constants!$A:$A,0)))),0),"")</f>
        <v/>
      </c>
      <c r="AU287" s="146" t="str">
        <f>IFERROR(_xlfn.IFNA(IF($BA287="No",0,IF(INDEX(Constants!F:F,MATCH(($I287/12),Constants!$A:$A,0))=0,0,INDEX(Constants!F:F,MATCH(($I287/12),Constants!$A:$A,0)))),0),"")</f>
        <v/>
      </c>
      <c r="AV287" s="146" t="str">
        <f>IFERROR(_xlfn.IFNA(IF($BA287="No",0,IF(INDEX(Constants!G:G,MATCH(($I287/12),Constants!$A:$A,0))=0,0,INDEX(Constants!G:G,MATCH(($I287/12),Constants!$A:$A,0)))),0),"")</f>
        <v/>
      </c>
      <c r="AW287" s="146" t="str">
        <f>IFERROR(_xlfn.IFNA(IF($BA287="No",0,IF(INDEX(Constants!H:H,MATCH(($I287/12),Constants!$A:$A,0))=0,0,INDEX(Constants!H:H,MATCH(($I287/12),Constants!$A:$A,0)))),0),"")</f>
        <v/>
      </c>
      <c r="AX287" s="146" t="str">
        <f>IFERROR(_xlfn.IFNA(IF($BA287="No",0,IF(INDEX(Constants!I:I,MATCH(($I287/12),Constants!$A:$A,0))=0,0,INDEX(Constants!I:I,MATCH(($I287/12),Constants!$A:$A,0)))),0),"")</f>
        <v/>
      </c>
      <c r="AY287" s="146" t="str">
        <f>IFERROR(_xlfn.IFNA(IF($BA287="No",0,IF(INDEX(Constants!J:J,MATCH(($I287/12),Constants!$A:$A,0))=0,0,INDEX(Constants!J:J,MATCH(($I287/12),Constants!$A:$A,0)))),0),"")</f>
        <v/>
      </c>
      <c r="AZ287" s="146" t="str">
        <f>IFERROR(_xlfn.IFNA(IF($BA287="No",0,IF(INDEX(Constants!K:K,MATCH(($I287/12),Constants!$A:$A,0))=0,0,INDEX(Constants!K:K,MATCH(($I287/12),Constants!$A:$A,0)))),0),"")</f>
        <v/>
      </c>
      <c r="BA287" s="147" t="str">
        <f>_xlfn.IFNA(INDEX(Producer!$L:$L,MATCH($D287,Producer!$A:$A,0)),"")</f>
        <v/>
      </c>
      <c r="BB287" s="146" t="str">
        <f>IFERROR(IF(AQ287=0,"",IF(($I287/12)=15,_xlfn.CONCAT(Constants!$N$7,TEXT(DATE(YEAR(H287)-(($I287/12)-3),MONTH(H287),DAY(H287)),"dd/mm/yyyy"),", ",Constants!$P$7,TEXT(DATE(YEAR(H287)-(($I287/12)-8),MONTH(H287),DAY(H287)),"dd/mm/yyyy"),", ",Constants!$T$7,TEXT(DATE(YEAR(H287)-(($I287/12)-11),MONTH(H287),DAY(H287)),"dd/mm/yyyy"),", ",Constants!$V$7,TEXT(DATE(YEAR(H287)-(($I287/12)-13),MONTH(H287),DAY(H287)),"dd/mm/yyyy"),", ",Constants!$W$7,TEXT($H287,"dd/mm/yyyy")),IF(($I287/12)=10,_xlfn.CONCAT(Constants!$N$6,TEXT(DATE(YEAR(H287)-(($I287/12)-2),MONTH(H287),DAY(H287)),"dd/mm/yyyy"),", ",Constants!$P$6,TEXT(DATE(YEAR(H287)-(($I287/12)-6),MONTH(H287),DAY(H287)),"dd/mm/yyyy"),", ",Constants!$T$6,TEXT(DATE(YEAR(H287)-(($I287/12)-8),MONTH(H287),DAY(H287)),"dd/mm/yyyy"),", ",Constants!$V$6,TEXT(DATE(YEAR(H287)-(($I287/12)-9),MONTH(H287),DAY(H287)),"dd/mm/yyyy"),", ",Constants!$W$6,TEXT($H287,"dd/mm/yyyy")),IF(($I287/12)=5,_xlfn.CONCAT(Constants!$N$5,TEXT(DATE(YEAR(H287)-(($I287/12)-1),MONTH(H287),DAY(H287)),"dd/mm/yyyy"),", ",Constants!$O$5,TEXT(DATE(YEAR(H287)-(($I287/12)-2),MONTH(H287),DAY(H287)),"dd/mm/yyyy"),", ",Constants!$P$5,TEXT(DATE(YEAR(H287)-(($I287/12)-3),MONTH(H287),DAY(H287)),"dd/mm/yyyy"),", ",Constants!$Q$5,TEXT(DATE(YEAR(H287)-(($I287/12)-4),MONTH(H287),DAY(H287)),"dd/mm/yyyy"),", ",Constants!$R$5,TEXT($H287,"dd/mm/yyyy")),IF(($I287/12)=3,_xlfn.CONCAT(Constants!$N$4,TEXT(DATE(YEAR(H287)-(($I287/12)-1),MONTH(H287),DAY(H287)),"dd/mm/yyyy"),", ",Constants!$O$4,TEXT(DATE(YEAR(H287)-(($I287/12)-2),MONTH(H287),DAY(H287)),"dd/mm/yyyy"),", ",Constants!$P$4,TEXT($H287,"dd/mm/yyyy")),IF(($I287/12)=2,_xlfn.CONCAT(Constants!$N$3,TEXT(DATE(YEAR(H287)-(($I287/12)-1),MONTH(H287),DAY(H287)),"dd/mm/yyyy"),", ",Constants!$O$3,TEXT($H287,"dd/mm/yyyy")),IF(($I287/12)=1,_xlfn.CONCAT(Constants!$N$2,TEXT($H287,"dd/mm/yyyy")),"Update Constants"))))))),"")</f>
        <v/>
      </c>
      <c r="BC287" s="147" t="str">
        <f>_xlfn.IFNA(VALUE(INDEX(Producer!$K:$K,MATCH($D287,Producer!$A:$A,0))),"")</f>
        <v/>
      </c>
      <c r="BD287" s="147" t="str">
        <f>_xlfn.IFNA(INDEX(Producer!$I:$I,MATCH($D287,Producer!$A:$A,0)),"")</f>
        <v/>
      </c>
      <c r="BE287" s="147" t="str">
        <f t="shared" si="120"/>
        <v/>
      </c>
      <c r="BF287" s="147"/>
      <c r="BG287" s="147"/>
      <c r="BH287" s="151" t="str">
        <f>_xlfn.IFNA(INDEX(Constants!$B:$B,MATCH(BC287,Constants!A:A,0)),"")</f>
        <v/>
      </c>
      <c r="BI287" s="147" t="str">
        <f>IF(LEFT(B287,15)="Limited Company",Constants!$D$16,IFERROR(_xlfn.IFNA(IF(C287="Residential",IF(BK287&lt;75,INDEX(Constants!$B:$B,MATCH(VALUE(60)/100,Constants!$A:$A,0)),INDEX(Constants!$B:$B,MATCH(VALUE(BK287)/100,Constants!$A:$A,0))),IF(BK287&lt;60,INDEX(Constants!$C:$C,MATCH(VALUE(60)/100,Constants!$A:$A,0)),INDEX(Constants!$C:$C,MATCH(VALUE(BK287)/100,Constants!$A:$A,0)))),""),""))</f>
        <v/>
      </c>
      <c r="BJ287" s="147" t="str">
        <f t="shared" si="121"/>
        <v/>
      </c>
      <c r="BK287" s="147" t="str">
        <f>_xlfn.IFNA(VALUE(INDEX(Producer!$E:$E,MATCH($D287,Producer!$A:$A,0)))*100,"")</f>
        <v/>
      </c>
      <c r="BL287" s="146" t="str">
        <f>_xlfn.IFNA(IF(IFERROR(FIND("Part &amp; Part",B287),-10)&gt;0,"PP",IF(OR(LEFT(B287,25)="Residential Interest Only",INDEX(Producer!$P:$P,MATCH($D287,Producer!$A:$A,0))="IO",INDEX(Producer!$P:$P,MATCH($D287,Producer!$A:$A,0))="Retirement Interest Only"),"IO",IF($C287="BuyToLet","CI, IO","CI"))),"")</f>
        <v/>
      </c>
      <c r="BM287" s="152" t="str">
        <f>_xlfn.IFNA(IF(BL287="IO",100%,IF(AND(INDEX(Producer!$P:$P,MATCH($D287,Producer!$A:$A,0))="Residential Interest Only Part &amp; Part",BK287=75),80%,IF(C287="BuyToLet",100%,IF(BL287="Interest Only",100%,IF(AND(INDEX(Producer!$P:$P,MATCH($D287,Producer!$A:$A,0))="Residential Interest Only Part &amp; Part",BK287=60),100%,""))))),"")</f>
        <v/>
      </c>
      <c r="BN287" s="218" t="str">
        <f>_xlfn.IFNA(IF(VALUE(INDEX(Producer!$H:$H,MATCH($D287,Producer!$A:$A,0)))=0,"",VALUE(INDEX(Producer!$H:$H,MATCH($D287,Producer!$A:$A,0)))),"")</f>
        <v/>
      </c>
      <c r="BO287" s="153"/>
      <c r="BP287" s="153"/>
      <c r="BQ287" s="219" t="str">
        <f t="shared" si="122"/>
        <v/>
      </c>
      <c r="BR287" s="146"/>
      <c r="BS287" s="146"/>
      <c r="BT287" s="146"/>
      <c r="BU287" s="146"/>
      <c r="BV287" s="219" t="str">
        <f t="shared" si="123"/>
        <v/>
      </c>
      <c r="BW287" s="146"/>
      <c r="BX287" s="146"/>
      <c r="BY287" s="146" t="str">
        <f t="shared" si="124"/>
        <v/>
      </c>
      <c r="BZ287" s="146" t="str">
        <f t="shared" si="125"/>
        <v/>
      </c>
      <c r="CA287" s="146" t="str">
        <f t="shared" si="126"/>
        <v/>
      </c>
      <c r="CB287" s="146" t="str">
        <f t="shared" si="127"/>
        <v/>
      </c>
      <c r="CC287" s="146" t="str">
        <f>_xlfn.IFNA(IF(INDEX(Producer!$P:$P,MATCH($D287,Producer!$A:$A,0))="Help to Buy","Only available","No"),"")</f>
        <v/>
      </c>
      <c r="CD287" s="146" t="str">
        <f>_xlfn.IFNA(IF(INDEX(Producer!$P:$P,MATCH($D287,Producer!$A:$A,0))="Shared Ownership","Only available","No"),"")</f>
        <v/>
      </c>
      <c r="CE287" s="146" t="str">
        <f>_xlfn.IFNA(IF(INDEX(Producer!$P:$P,MATCH($D287,Producer!$A:$A,0))="Right to Buy","Only available","No"),"")</f>
        <v/>
      </c>
      <c r="CF287" s="146" t="str">
        <f t="shared" si="128"/>
        <v/>
      </c>
      <c r="CG287" s="146" t="str">
        <f>_xlfn.IFNA(IF(INDEX(Producer!$P:$P,MATCH($D287,Producer!$A:$A,0))="Retirement Interest Only","Only available","No"),"")</f>
        <v/>
      </c>
      <c r="CH287" s="146" t="str">
        <f t="shared" si="129"/>
        <v/>
      </c>
      <c r="CI287" s="146" t="str">
        <f>_xlfn.IFNA(IF(INDEX(Producer!$P:$P,MATCH($D287,Producer!$A:$A,0))="Intermediary Holiday Let","Only available","No"),"")</f>
        <v/>
      </c>
      <c r="CJ287" s="146" t="str">
        <f t="shared" si="130"/>
        <v/>
      </c>
      <c r="CK287" s="146" t="str">
        <f>_xlfn.IFNA(IF(OR(INDEX(Producer!$P:$P,MATCH($D287,Producer!$A:$A,0))="Intermediary Small HMO",INDEX(Producer!$P:$P,MATCH($D287,Producer!$A:$A,0))="Intermediary Large HMO"),"Only available","No"),"")</f>
        <v/>
      </c>
      <c r="CL287" s="146" t="str">
        <f t="shared" si="131"/>
        <v/>
      </c>
      <c r="CM287" s="146" t="str">
        <f t="shared" si="132"/>
        <v/>
      </c>
      <c r="CN287" s="146" t="str">
        <f t="shared" si="133"/>
        <v/>
      </c>
      <c r="CO287" s="146" t="str">
        <f t="shared" si="134"/>
        <v/>
      </c>
      <c r="CP287" s="146" t="str">
        <f t="shared" si="135"/>
        <v/>
      </c>
      <c r="CQ287" s="146" t="str">
        <f t="shared" si="136"/>
        <v/>
      </c>
      <c r="CR287" s="146" t="str">
        <f t="shared" si="137"/>
        <v/>
      </c>
      <c r="CS287" s="146" t="str">
        <f t="shared" si="138"/>
        <v/>
      </c>
      <c r="CT287" s="146" t="str">
        <f t="shared" si="139"/>
        <v/>
      </c>
      <c r="CU287" s="146"/>
    </row>
    <row r="288" spans="1:99" ht="16.399999999999999" customHeight="1" x14ac:dyDescent="0.35">
      <c r="A288" s="145" t="str">
        <f t="shared" si="112"/>
        <v/>
      </c>
      <c r="B288" s="145" t="str">
        <f>_xlfn.IFNA(_xlfn.CONCAT(INDEX(Producer!$P:$P,MATCH($D288,Producer!$A:$A,0))," ",IF(INDEX(Producer!$N:$N,MATCH($D288,Producer!$A:$A,0))="Yes","Green ",""),IF(AND(INDEX(Producer!$L:$L,MATCH($D288,Producer!$A:$A,0))="No",INDEX(Producer!$C:$C,MATCH($D288,Producer!$A:$A,0))="Fixed"),"Flexit ",""),INDEX(Producer!$B:$B,MATCH($D288,Producer!$A:$A,0))," Year ",INDEX(Producer!$C:$C,MATCH($D288,Producer!$A:$A,0))," ",VALUE(INDEX(Producer!$E:$E,MATCH($D288,Producer!$A:$A,0)))*100,"% LTV",IF(INDEX(Producer!$N:$N,MATCH($D288,Producer!$A:$A,0))="Yes"," (EPC A-C)","")," - ",IF(INDEX(Producer!$D:$D,MATCH($D288,Producer!$A:$A,0))="DLY","Daily","Annual")),"")</f>
        <v/>
      </c>
      <c r="C288" s="146" t="str">
        <f>_xlfn.IFNA(INDEX(Producer!$Q:$Q,MATCH($D288,Producer!$A:$A,0)),"")</f>
        <v/>
      </c>
      <c r="D288" s="146" t="str">
        <f>IFERROR(VALUE(MID(Producer!$R$2,IF($D287="",1/0,FIND(_xlfn.CONCAT($D286,$D287),Producer!$R$2)+10),5)),"")</f>
        <v/>
      </c>
      <c r="E288" s="146" t="str">
        <f t="shared" si="113"/>
        <v/>
      </c>
      <c r="F288" s="146"/>
      <c r="G288" s="147" t="str">
        <f>_xlfn.IFNA(VALUE(INDEX(Producer!$F:$F,MATCH($D288,Producer!$A:$A,0)))*100,"")</f>
        <v/>
      </c>
      <c r="H288" s="216" t="str">
        <f>_xlfn.IFNA(IFERROR(DATEVALUE(INDEX(Producer!$M:$M,MATCH($D288,Producer!$A:$A,0))),(INDEX(Producer!$M:$M,MATCH($D288,Producer!$A:$A,0)))),"")</f>
        <v/>
      </c>
      <c r="I288" s="217" t="str">
        <f>_xlfn.IFNA(VALUE(INDEX(Producer!$B:$B,MATCH($D288,Producer!$A:$A,0)))*12,"")</f>
        <v/>
      </c>
      <c r="J288" s="146" t="str">
        <f>_xlfn.IFNA(IF(C288="Residential",IF(VALUE(INDEX(Producer!$B:$B,MATCH($D288,Producer!$A:$A,0)))&lt;5,Constants!$C$10,""),IF(VALUE(INDEX(Producer!$B:$B,MATCH($D288,Producer!$A:$A,0)))&lt;5,Constants!$C$11,"")),"")</f>
        <v/>
      </c>
      <c r="K288" s="216" t="str">
        <f>_xlfn.IFNA(IF(($I288)&lt;60,DATE(YEAR(H288)+(5-VALUE(INDEX(Producer!$B:$B,MATCH($D288,Producer!$A:$A,0)))),MONTH(H288),DAY(H288)),""),"")</f>
        <v/>
      </c>
      <c r="L288" s="153" t="str">
        <f t="shared" si="114"/>
        <v/>
      </c>
      <c r="M288" s="146"/>
      <c r="N288" s="148"/>
      <c r="O288" s="148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  <c r="AA288" s="146"/>
      <c r="AB288" s="146"/>
      <c r="AC288" s="146"/>
      <c r="AD288" s="146"/>
      <c r="AE288" s="146"/>
      <c r="AF288" s="146"/>
      <c r="AG288" s="146"/>
      <c r="AH288" s="146"/>
      <c r="AI288" s="146"/>
      <c r="AJ288" s="146"/>
      <c r="AK288" s="146" t="str">
        <f>IF(D288="","",IF(C288="Residential",Constants!$B$10,Constants!$B$11))</f>
        <v/>
      </c>
      <c r="AL288" s="146" t="str">
        <f t="shared" si="115"/>
        <v/>
      </c>
      <c r="AM288" s="206" t="str">
        <f t="shared" si="116"/>
        <v/>
      </c>
      <c r="AN288" s="146" t="str">
        <f t="shared" si="117"/>
        <v/>
      </c>
      <c r="AO288" s="149" t="str">
        <f t="shared" si="118"/>
        <v/>
      </c>
      <c r="AP288" s="150" t="str">
        <f t="shared" si="119"/>
        <v/>
      </c>
      <c r="AQ288" s="146" t="str">
        <f>IFERROR(_xlfn.IFNA(IF($BA288="No",0,IF(INDEX(Constants!B:B,MATCH(($I288/12),Constants!$A:$A,0))=0,0,INDEX(Constants!B:B,MATCH(($I288/12),Constants!$A:$A,0)))),0),"")</f>
        <v/>
      </c>
      <c r="AR288" s="146" t="str">
        <f>IFERROR(_xlfn.IFNA(IF($BA288="No",0,IF(INDEX(Constants!C:C,MATCH(($I288/12),Constants!$A:$A,0))=0,0,INDEX(Constants!C:C,MATCH(($I288/12),Constants!$A:$A,0)))),0),"")</f>
        <v/>
      </c>
      <c r="AS288" s="146" t="str">
        <f>IFERROR(_xlfn.IFNA(IF($BA288="No",0,IF(INDEX(Constants!D:D,MATCH(($I288/12),Constants!$A:$A,0))=0,0,INDEX(Constants!D:D,MATCH(($I288/12),Constants!$A:$A,0)))),0),"")</f>
        <v/>
      </c>
      <c r="AT288" s="146" t="str">
        <f>IFERROR(_xlfn.IFNA(IF($BA288="No",0,IF(INDEX(Constants!E:E,MATCH(($I288/12),Constants!$A:$A,0))=0,0,INDEX(Constants!E:E,MATCH(($I288/12),Constants!$A:$A,0)))),0),"")</f>
        <v/>
      </c>
      <c r="AU288" s="146" t="str">
        <f>IFERROR(_xlfn.IFNA(IF($BA288="No",0,IF(INDEX(Constants!F:F,MATCH(($I288/12),Constants!$A:$A,0))=0,0,INDEX(Constants!F:F,MATCH(($I288/12),Constants!$A:$A,0)))),0),"")</f>
        <v/>
      </c>
      <c r="AV288" s="146" t="str">
        <f>IFERROR(_xlfn.IFNA(IF($BA288="No",0,IF(INDEX(Constants!G:G,MATCH(($I288/12),Constants!$A:$A,0))=0,0,INDEX(Constants!G:G,MATCH(($I288/12),Constants!$A:$A,0)))),0),"")</f>
        <v/>
      </c>
      <c r="AW288" s="146" t="str">
        <f>IFERROR(_xlfn.IFNA(IF($BA288="No",0,IF(INDEX(Constants!H:H,MATCH(($I288/12),Constants!$A:$A,0))=0,0,INDEX(Constants!H:H,MATCH(($I288/12),Constants!$A:$A,0)))),0),"")</f>
        <v/>
      </c>
      <c r="AX288" s="146" t="str">
        <f>IFERROR(_xlfn.IFNA(IF($BA288="No",0,IF(INDEX(Constants!I:I,MATCH(($I288/12),Constants!$A:$A,0))=0,0,INDEX(Constants!I:I,MATCH(($I288/12),Constants!$A:$A,0)))),0),"")</f>
        <v/>
      </c>
      <c r="AY288" s="146" t="str">
        <f>IFERROR(_xlfn.IFNA(IF($BA288="No",0,IF(INDEX(Constants!J:J,MATCH(($I288/12),Constants!$A:$A,0))=0,0,INDEX(Constants!J:J,MATCH(($I288/12),Constants!$A:$A,0)))),0),"")</f>
        <v/>
      </c>
      <c r="AZ288" s="146" t="str">
        <f>IFERROR(_xlfn.IFNA(IF($BA288="No",0,IF(INDEX(Constants!K:K,MATCH(($I288/12),Constants!$A:$A,0))=0,0,INDEX(Constants!K:K,MATCH(($I288/12),Constants!$A:$A,0)))),0),"")</f>
        <v/>
      </c>
      <c r="BA288" s="147" t="str">
        <f>_xlfn.IFNA(INDEX(Producer!$L:$L,MATCH($D288,Producer!$A:$A,0)),"")</f>
        <v/>
      </c>
      <c r="BB288" s="146" t="str">
        <f>IFERROR(IF(AQ288=0,"",IF(($I288/12)=15,_xlfn.CONCAT(Constants!$N$7,TEXT(DATE(YEAR(H288)-(($I288/12)-3),MONTH(H288),DAY(H288)),"dd/mm/yyyy"),", ",Constants!$P$7,TEXT(DATE(YEAR(H288)-(($I288/12)-8),MONTH(H288),DAY(H288)),"dd/mm/yyyy"),", ",Constants!$T$7,TEXT(DATE(YEAR(H288)-(($I288/12)-11),MONTH(H288),DAY(H288)),"dd/mm/yyyy"),", ",Constants!$V$7,TEXT(DATE(YEAR(H288)-(($I288/12)-13),MONTH(H288),DAY(H288)),"dd/mm/yyyy"),", ",Constants!$W$7,TEXT($H288,"dd/mm/yyyy")),IF(($I288/12)=10,_xlfn.CONCAT(Constants!$N$6,TEXT(DATE(YEAR(H288)-(($I288/12)-2),MONTH(H288),DAY(H288)),"dd/mm/yyyy"),", ",Constants!$P$6,TEXT(DATE(YEAR(H288)-(($I288/12)-6),MONTH(H288),DAY(H288)),"dd/mm/yyyy"),", ",Constants!$T$6,TEXT(DATE(YEAR(H288)-(($I288/12)-8),MONTH(H288),DAY(H288)),"dd/mm/yyyy"),", ",Constants!$V$6,TEXT(DATE(YEAR(H288)-(($I288/12)-9),MONTH(H288),DAY(H288)),"dd/mm/yyyy"),", ",Constants!$W$6,TEXT($H288,"dd/mm/yyyy")),IF(($I288/12)=5,_xlfn.CONCAT(Constants!$N$5,TEXT(DATE(YEAR(H288)-(($I288/12)-1),MONTH(H288),DAY(H288)),"dd/mm/yyyy"),", ",Constants!$O$5,TEXT(DATE(YEAR(H288)-(($I288/12)-2),MONTH(H288),DAY(H288)),"dd/mm/yyyy"),", ",Constants!$P$5,TEXT(DATE(YEAR(H288)-(($I288/12)-3),MONTH(H288),DAY(H288)),"dd/mm/yyyy"),", ",Constants!$Q$5,TEXT(DATE(YEAR(H288)-(($I288/12)-4),MONTH(H288),DAY(H288)),"dd/mm/yyyy"),", ",Constants!$R$5,TEXT($H288,"dd/mm/yyyy")),IF(($I288/12)=3,_xlfn.CONCAT(Constants!$N$4,TEXT(DATE(YEAR(H288)-(($I288/12)-1),MONTH(H288),DAY(H288)),"dd/mm/yyyy"),", ",Constants!$O$4,TEXT(DATE(YEAR(H288)-(($I288/12)-2),MONTH(H288),DAY(H288)),"dd/mm/yyyy"),", ",Constants!$P$4,TEXT($H288,"dd/mm/yyyy")),IF(($I288/12)=2,_xlfn.CONCAT(Constants!$N$3,TEXT(DATE(YEAR(H288)-(($I288/12)-1),MONTH(H288),DAY(H288)),"dd/mm/yyyy"),", ",Constants!$O$3,TEXT($H288,"dd/mm/yyyy")),IF(($I288/12)=1,_xlfn.CONCAT(Constants!$N$2,TEXT($H288,"dd/mm/yyyy")),"Update Constants"))))))),"")</f>
        <v/>
      </c>
      <c r="BC288" s="147" t="str">
        <f>_xlfn.IFNA(VALUE(INDEX(Producer!$K:$K,MATCH($D288,Producer!$A:$A,0))),"")</f>
        <v/>
      </c>
      <c r="BD288" s="147" t="str">
        <f>_xlfn.IFNA(INDEX(Producer!$I:$I,MATCH($D288,Producer!$A:$A,0)),"")</f>
        <v/>
      </c>
      <c r="BE288" s="147" t="str">
        <f t="shared" si="120"/>
        <v/>
      </c>
      <c r="BF288" s="147"/>
      <c r="BG288" s="147"/>
      <c r="BH288" s="151" t="str">
        <f>_xlfn.IFNA(INDEX(Constants!$B:$B,MATCH(BC288,Constants!A:A,0)),"")</f>
        <v/>
      </c>
      <c r="BI288" s="147" t="str">
        <f>IF(LEFT(B288,15)="Limited Company",Constants!$D$16,IFERROR(_xlfn.IFNA(IF(C288="Residential",IF(BK288&lt;75,INDEX(Constants!$B:$B,MATCH(VALUE(60)/100,Constants!$A:$A,0)),INDEX(Constants!$B:$B,MATCH(VALUE(BK288)/100,Constants!$A:$A,0))),IF(BK288&lt;60,INDEX(Constants!$C:$C,MATCH(VALUE(60)/100,Constants!$A:$A,0)),INDEX(Constants!$C:$C,MATCH(VALUE(BK288)/100,Constants!$A:$A,0)))),""),""))</f>
        <v/>
      </c>
      <c r="BJ288" s="147" t="str">
        <f t="shared" si="121"/>
        <v/>
      </c>
      <c r="BK288" s="147" t="str">
        <f>_xlfn.IFNA(VALUE(INDEX(Producer!$E:$E,MATCH($D288,Producer!$A:$A,0)))*100,"")</f>
        <v/>
      </c>
      <c r="BL288" s="146" t="str">
        <f>_xlfn.IFNA(IF(IFERROR(FIND("Part &amp; Part",B288),-10)&gt;0,"PP",IF(OR(LEFT(B288,25)="Residential Interest Only",INDEX(Producer!$P:$P,MATCH($D288,Producer!$A:$A,0))="IO",INDEX(Producer!$P:$P,MATCH($D288,Producer!$A:$A,0))="Retirement Interest Only"),"IO",IF($C288="BuyToLet","CI, IO","CI"))),"")</f>
        <v/>
      </c>
      <c r="BM288" s="152" t="str">
        <f>_xlfn.IFNA(IF(BL288="IO",100%,IF(AND(INDEX(Producer!$P:$P,MATCH($D288,Producer!$A:$A,0))="Residential Interest Only Part &amp; Part",BK288=75),80%,IF(C288="BuyToLet",100%,IF(BL288="Interest Only",100%,IF(AND(INDEX(Producer!$P:$P,MATCH($D288,Producer!$A:$A,0))="Residential Interest Only Part &amp; Part",BK288=60),100%,""))))),"")</f>
        <v/>
      </c>
      <c r="BN288" s="218" t="str">
        <f>_xlfn.IFNA(IF(VALUE(INDEX(Producer!$H:$H,MATCH($D288,Producer!$A:$A,0)))=0,"",VALUE(INDEX(Producer!$H:$H,MATCH($D288,Producer!$A:$A,0)))),"")</f>
        <v/>
      </c>
      <c r="BO288" s="153"/>
      <c r="BP288" s="153"/>
      <c r="BQ288" s="219" t="str">
        <f t="shared" si="122"/>
        <v/>
      </c>
      <c r="BR288" s="146"/>
      <c r="BS288" s="146"/>
      <c r="BT288" s="146"/>
      <c r="BU288" s="146"/>
      <c r="BV288" s="219" t="str">
        <f t="shared" si="123"/>
        <v/>
      </c>
      <c r="BW288" s="146"/>
      <c r="BX288" s="146"/>
      <c r="BY288" s="146" t="str">
        <f t="shared" si="124"/>
        <v/>
      </c>
      <c r="BZ288" s="146" t="str">
        <f t="shared" si="125"/>
        <v/>
      </c>
      <c r="CA288" s="146" t="str">
        <f t="shared" si="126"/>
        <v/>
      </c>
      <c r="CB288" s="146" t="str">
        <f t="shared" si="127"/>
        <v/>
      </c>
      <c r="CC288" s="146" t="str">
        <f>_xlfn.IFNA(IF(INDEX(Producer!$P:$P,MATCH($D288,Producer!$A:$A,0))="Help to Buy","Only available","No"),"")</f>
        <v/>
      </c>
      <c r="CD288" s="146" t="str">
        <f>_xlfn.IFNA(IF(INDEX(Producer!$P:$P,MATCH($D288,Producer!$A:$A,0))="Shared Ownership","Only available","No"),"")</f>
        <v/>
      </c>
      <c r="CE288" s="146" t="str">
        <f>_xlfn.IFNA(IF(INDEX(Producer!$P:$P,MATCH($D288,Producer!$A:$A,0))="Right to Buy","Only available","No"),"")</f>
        <v/>
      </c>
      <c r="CF288" s="146" t="str">
        <f t="shared" si="128"/>
        <v/>
      </c>
      <c r="CG288" s="146" t="str">
        <f>_xlfn.IFNA(IF(INDEX(Producer!$P:$P,MATCH($D288,Producer!$A:$A,0))="Retirement Interest Only","Only available","No"),"")</f>
        <v/>
      </c>
      <c r="CH288" s="146" t="str">
        <f t="shared" si="129"/>
        <v/>
      </c>
      <c r="CI288" s="146" t="str">
        <f>_xlfn.IFNA(IF(INDEX(Producer!$P:$P,MATCH($D288,Producer!$A:$A,0))="Intermediary Holiday Let","Only available","No"),"")</f>
        <v/>
      </c>
      <c r="CJ288" s="146" t="str">
        <f t="shared" si="130"/>
        <v/>
      </c>
      <c r="CK288" s="146" t="str">
        <f>_xlfn.IFNA(IF(OR(INDEX(Producer!$P:$P,MATCH($D288,Producer!$A:$A,0))="Intermediary Small HMO",INDEX(Producer!$P:$P,MATCH($D288,Producer!$A:$A,0))="Intermediary Large HMO"),"Only available","No"),"")</f>
        <v/>
      </c>
      <c r="CL288" s="146" t="str">
        <f t="shared" si="131"/>
        <v/>
      </c>
      <c r="CM288" s="146" t="str">
        <f t="shared" si="132"/>
        <v/>
      </c>
      <c r="CN288" s="146" t="str">
        <f t="shared" si="133"/>
        <v/>
      </c>
      <c r="CO288" s="146" t="str">
        <f t="shared" si="134"/>
        <v/>
      </c>
      <c r="CP288" s="146" t="str">
        <f t="shared" si="135"/>
        <v/>
      </c>
      <c r="CQ288" s="146" t="str">
        <f t="shared" si="136"/>
        <v/>
      </c>
      <c r="CR288" s="146" t="str">
        <f t="shared" si="137"/>
        <v/>
      </c>
      <c r="CS288" s="146" t="str">
        <f t="shared" si="138"/>
        <v/>
      </c>
      <c r="CT288" s="146" t="str">
        <f t="shared" si="139"/>
        <v/>
      </c>
      <c r="CU288" s="146"/>
    </row>
    <row r="289" spans="1:99" ht="16.399999999999999" customHeight="1" x14ac:dyDescent="0.35">
      <c r="A289" s="145" t="str">
        <f t="shared" si="112"/>
        <v/>
      </c>
      <c r="B289" s="145" t="str">
        <f>_xlfn.IFNA(_xlfn.CONCAT(INDEX(Producer!$P:$P,MATCH($D289,Producer!$A:$A,0))," ",IF(INDEX(Producer!$N:$N,MATCH($D289,Producer!$A:$A,0))="Yes","Green ",""),IF(AND(INDEX(Producer!$L:$L,MATCH($D289,Producer!$A:$A,0))="No",INDEX(Producer!$C:$C,MATCH($D289,Producer!$A:$A,0))="Fixed"),"Flexit ",""),INDEX(Producer!$B:$B,MATCH($D289,Producer!$A:$A,0))," Year ",INDEX(Producer!$C:$C,MATCH($D289,Producer!$A:$A,0))," ",VALUE(INDEX(Producer!$E:$E,MATCH($D289,Producer!$A:$A,0)))*100,"% LTV",IF(INDEX(Producer!$N:$N,MATCH($D289,Producer!$A:$A,0))="Yes"," (EPC A-C)","")," - ",IF(INDEX(Producer!$D:$D,MATCH($D289,Producer!$A:$A,0))="DLY","Daily","Annual")),"")</f>
        <v/>
      </c>
      <c r="C289" s="146" t="str">
        <f>_xlfn.IFNA(INDEX(Producer!$Q:$Q,MATCH($D289,Producer!$A:$A,0)),"")</f>
        <v/>
      </c>
      <c r="D289" s="146" t="str">
        <f>IFERROR(VALUE(MID(Producer!$R$2,IF($D288="",1/0,FIND(_xlfn.CONCAT($D287,$D288),Producer!$R$2)+10),5)),"")</f>
        <v/>
      </c>
      <c r="E289" s="146" t="str">
        <f t="shared" si="113"/>
        <v/>
      </c>
      <c r="F289" s="146"/>
      <c r="G289" s="147" t="str">
        <f>_xlfn.IFNA(VALUE(INDEX(Producer!$F:$F,MATCH($D289,Producer!$A:$A,0)))*100,"")</f>
        <v/>
      </c>
      <c r="H289" s="216" t="str">
        <f>_xlfn.IFNA(IFERROR(DATEVALUE(INDEX(Producer!$M:$M,MATCH($D289,Producer!$A:$A,0))),(INDEX(Producer!$M:$M,MATCH($D289,Producer!$A:$A,0)))),"")</f>
        <v/>
      </c>
      <c r="I289" s="217" t="str">
        <f>_xlfn.IFNA(VALUE(INDEX(Producer!$B:$B,MATCH($D289,Producer!$A:$A,0)))*12,"")</f>
        <v/>
      </c>
      <c r="J289" s="146" t="str">
        <f>_xlfn.IFNA(IF(C289="Residential",IF(VALUE(INDEX(Producer!$B:$B,MATCH($D289,Producer!$A:$A,0)))&lt;5,Constants!$C$10,""),IF(VALUE(INDEX(Producer!$B:$B,MATCH($D289,Producer!$A:$A,0)))&lt;5,Constants!$C$11,"")),"")</f>
        <v/>
      </c>
      <c r="K289" s="216" t="str">
        <f>_xlfn.IFNA(IF(($I289)&lt;60,DATE(YEAR(H289)+(5-VALUE(INDEX(Producer!$B:$B,MATCH($D289,Producer!$A:$A,0)))),MONTH(H289),DAY(H289)),""),"")</f>
        <v/>
      </c>
      <c r="L289" s="153" t="str">
        <f t="shared" si="114"/>
        <v/>
      </c>
      <c r="M289" s="146"/>
      <c r="N289" s="148"/>
      <c r="O289" s="148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  <c r="AA289" s="146"/>
      <c r="AB289" s="146"/>
      <c r="AC289" s="146"/>
      <c r="AD289" s="146"/>
      <c r="AE289" s="146"/>
      <c r="AF289" s="146"/>
      <c r="AG289" s="146"/>
      <c r="AH289" s="146"/>
      <c r="AI289" s="146"/>
      <c r="AJ289" s="146"/>
      <c r="AK289" s="146" t="str">
        <f>IF(D289="","",IF(C289="Residential",Constants!$B$10,Constants!$B$11))</f>
        <v/>
      </c>
      <c r="AL289" s="146" t="str">
        <f t="shared" si="115"/>
        <v/>
      </c>
      <c r="AM289" s="206" t="str">
        <f t="shared" si="116"/>
        <v/>
      </c>
      <c r="AN289" s="146" t="str">
        <f t="shared" si="117"/>
        <v/>
      </c>
      <c r="AO289" s="149" t="str">
        <f t="shared" si="118"/>
        <v/>
      </c>
      <c r="AP289" s="150" t="str">
        <f t="shared" si="119"/>
        <v/>
      </c>
      <c r="AQ289" s="146" t="str">
        <f>IFERROR(_xlfn.IFNA(IF($BA289="No",0,IF(INDEX(Constants!B:B,MATCH(($I289/12),Constants!$A:$A,0))=0,0,INDEX(Constants!B:B,MATCH(($I289/12),Constants!$A:$A,0)))),0),"")</f>
        <v/>
      </c>
      <c r="AR289" s="146" t="str">
        <f>IFERROR(_xlfn.IFNA(IF($BA289="No",0,IF(INDEX(Constants!C:C,MATCH(($I289/12),Constants!$A:$A,0))=0,0,INDEX(Constants!C:C,MATCH(($I289/12),Constants!$A:$A,0)))),0),"")</f>
        <v/>
      </c>
      <c r="AS289" s="146" t="str">
        <f>IFERROR(_xlfn.IFNA(IF($BA289="No",0,IF(INDEX(Constants!D:D,MATCH(($I289/12),Constants!$A:$A,0))=0,0,INDEX(Constants!D:D,MATCH(($I289/12),Constants!$A:$A,0)))),0),"")</f>
        <v/>
      </c>
      <c r="AT289" s="146" t="str">
        <f>IFERROR(_xlfn.IFNA(IF($BA289="No",0,IF(INDEX(Constants!E:E,MATCH(($I289/12),Constants!$A:$A,0))=0,0,INDEX(Constants!E:E,MATCH(($I289/12),Constants!$A:$A,0)))),0),"")</f>
        <v/>
      </c>
      <c r="AU289" s="146" t="str">
        <f>IFERROR(_xlfn.IFNA(IF($BA289="No",0,IF(INDEX(Constants!F:F,MATCH(($I289/12),Constants!$A:$A,0))=0,0,INDEX(Constants!F:F,MATCH(($I289/12),Constants!$A:$A,0)))),0),"")</f>
        <v/>
      </c>
      <c r="AV289" s="146" t="str">
        <f>IFERROR(_xlfn.IFNA(IF($BA289="No",0,IF(INDEX(Constants!G:G,MATCH(($I289/12),Constants!$A:$A,0))=0,0,INDEX(Constants!G:G,MATCH(($I289/12),Constants!$A:$A,0)))),0),"")</f>
        <v/>
      </c>
      <c r="AW289" s="146" t="str">
        <f>IFERROR(_xlfn.IFNA(IF($BA289="No",0,IF(INDEX(Constants!H:H,MATCH(($I289/12),Constants!$A:$A,0))=0,0,INDEX(Constants!H:H,MATCH(($I289/12),Constants!$A:$A,0)))),0),"")</f>
        <v/>
      </c>
      <c r="AX289" s="146" t="str">
        <f>IFERROR(_xlfn.IFNA(IF($BA289="No",0,IF(INDEX(Constants!I:I,MATCH(($I289/12),Constants!$A:$A,0))=0,0,INDEX(Constants!I:I,MATCH(($I289/12),Constants!$A:$A,0)))),0),"")</f>
        <v/>
      </c>
      <c r="AY289" s="146" t="str">
        <f>IFERROR(_xlfn.IFNA(IF($BA289="No",0,IF(INDEX(Constants!J:J,MATCH(($I289/12),Constants!$A:$A,0))=0,0,INDEX(Constants!J:J,MATCH(($I289/12),Constants!$A:$A,0)))),0),"")</f>
        <v/>
      </c>
      <c r="AZ289" s="146" t="str">
        <f>IFERROR(_xlfn.IFNA(IF($BA289="No",0,IF(INDEX(Constants!K:K,MATCH(($I289/12),Constants!$A:$A,0))=0,0,INDEX(Constants!K:K,MATCH(($I289/12),Constants!$A:$A,0)))),0),"")</f>
        <v/>
      </c>
      <c r="BA289" s="147" t="str">
        <f>_xlfn.IFNA(INDEX(Producer!$L:$L,MATCH($D289,Producer!$A:$A,0)),"")</f>
        <v/>
      </c>
      <c r="BB289" s="146" t="str">
        <f>IFERROR(IF(AQ289=0,"",IF(($I289/12)=15,_xlfn.CONCAT(Constants!$N$7,TEXT(DATE(YEAR(H289)-(($I289/12)-3),MONTH(H289),DAY(H289)),"dd/mm/yyyy"),", ",Constants!$P$7,TEXT(DATE(YEAR(H289)-(($I289/12)-8),MONTH(H289),DAY(H289)),"dd/mm/yyyy"),", ",Constants!$T$7,TEXT(DATE(YEAR(H289)-(($I289/12)-11),MONTH(H289),DAY(H289)),"dd/mm/yyyy"),", ",Constants!$V$7,TEXT(DATE(YEAR(H289)-(($I289/12)-13),MONTH(H289),DAY(H289)),"dd/mm/yyyy"),", ",Constants!$W$7,TEXT($H289,"dd/mm/yyyy")),IF(($I289/12)=10,_xlfn.CONCAT(Constants!$N$6,TEXT(DATE(YEAR(H289)-(($I289/12)-2),MONTH(H289),DAY(H289)),"dd/mm/yyyy"),", ",Constants!$P$6,TEXT(DATE(YEAR(H289)-(($I289/12)-6),MONTH(H289),DAY(H289)),"dd/mm/yyyy"),", ",Constants!$T$6,TEXT(DATE(YEAR(H289)-(($I289/12)-8),MONTH(H289),DAY(H289)),"dd/mm/yyyy"),", ",Constants!$V$6,TEXT(DATE(YEAR(H289)-(($I289/12)-9),MONTH(H289),DAY(H289)),"dd/mm/yyyy"),", ",Constants!$W$6,TEXT($H289,"dd/mm/yyyy")),IF(($I289/12)=5,_xlfn.CONCAT(Constants!$N$5,TEXT(DATE(YEAR(H289)-(($I289/12)-1),MONTH(H289),DAY(H289)),"dd/mm/yyyy"),", ",Constants!$O$5,TEXT(DATE(YEAR(H289)-(($I289/12)-2),MONTH(H289),DAY(H289)),"dd/mm/yyyy"),", ",Constants!$P$5,TEXT(DATE(YEAR(H289)-(($I289/12)-3),MONTH(H289),DAY(H289)),"dd/mm/yyyy"),", ",Constants!$Q$5,TEXT(DATE(YEAR(H289)-(($I289/12)-4),MONTH(H289),DAY(H289)),"dd/mm/yyyy"),", ",Constants!$R$5,TEXT($H289,"dd/mm/yyyy")),IF(($I289/12)=3,_xlfn.CONCAT(Constants!$N$4,TEXT(DATE(YEAR(H289)-(($I289/12)-1),MONTH(H289),DAY(H289)),"dd/mm/yyyy"),", ",Constants!$O$4,TEXT(DATE(YEAR(H289)-(($I289/12)-2),MONTH(H289),DAY(H289)),"dd/mm/yyyy"),", ",Constants!$P$4,TEXT($H289,"dd/mm/yyyy")),IF(($I289/12)=2,_xlfn.CONCAT(Constants!$N$3,TEXT(DATE(YEAR(H289)-(($I289/12)-1),MONTH(H289),DAY(H289)),"dd/mm/yyyy"),", ",Constants!$O$3,TEXT($H289,"dd/mm/yyyy")),IF(($I289/12)=1,_xlfn.CONCAT(Constants!$N$2,TEXT($H289,"dd/mm/yyyy")),"Update Constants"))))))),"")</f>
        <v/>
      </c>
      <c r="BC289" s="147" t="str">
        <f>_xlfn.IFNA(VALUE(INDEX(Producer!$K:$K,MATCH($D289,Producer!$A:$A,0))),"")</f>
        <v/>
      </c>
      <c r="BD289" s="147" t="str">
        <f>_xlfn.IFNA(INDEX(Producer!$I:$I,MATCH($D289,Producer!$A:$A,0)),"")</f>
        <v/>
      </c>
      <c r="BE289" s="147" t="str">
        <f t="shared" si="120"/>
        <v/>
      </c>
      <c r="BF289" s="147"/>
      <c r="BG289" s="147"/>
      <c r="BH289" s="151" t="str">
        <f>_xlfn.IFNA(INDEX(Constants!$B:$B,MATCH(BC289,Constants!A:A,0)),"")</f>
        <v/>
      </c>
      <c r="BI289" s="147" t="str">
        <f>IF(LEFT(B289,15)="Limited Company",Constants!$D$16,IFERROR(_xlfn.IFNA(IF(C289="Residential",IF(BK289&lt;75,INDEX(Constants!$B:$B,MATCH(VALUE(60)/100,Constants!$A:$A,0)),INDEX(Constants!$B:$B,MATCH(VALUE(BK289)/100,Constants!$A:$A,0))),IF(BK289&lt;60,INDEX(Constants!$C:$C,MATCH(VALUE(60)/100,Constants!$A:$A,0)),INDEX(Constants!$C:$C,MATCH(VALUE(BK289)/100,Constants!$A:$A,0)))),""),""))</f>
        <v/>
      </c>
      <c r="BJ289" s="147" t="str">
        <f t="shared" si="121"/>
        <v/>
      </c>
      <c r="BK289" s="147" t="str">
        <f>_xlfn.IFNA(VALUE(INDEX(Producer!$E:$E,MATCH($D289,Producer!$A:$A,0)))*100,"")</f>
        <v/>
      </c>
      <c r="BL289" s="146" t="str">
        <f>_xlfn.IFNA(IF(IFERROR(FIND("Part &amp; Part",B289),-10)&gt;0,"PP",IF(OR(LEFT(B289,25)="Residential Interest Only",INDEX(Producer!$P:$P,MATCH($D289,Producer!$A:$A,0))="IO",INDEX(Producer!$P:$P,MATCH($D289,Producer!$A:$A,0))="Retirement Interest Only"),"IO",IF($C289="BuyToLet","CI, IO","CI"))),"")</f>
        <v/>
      </c>
      <c r="BM289" s="152" t="str">
        <f>_xlfn.IFNA(IF(BL289="IO",100%,IF(AND(INDEX(Producer!$P:$P,MATCH($D289,Producer!$A:$A,0))="Residential Interest Only Part &amp; Part",BK289=75),80%,IF(C289="BuyToLet",100%,IF(BL289="Interest Only",100%,IF(AND(INDEX(Producer!$P:$P,MATCH($D289,Producer!$A:$A,0))="Residential Interest Only Part &amp; Part",BK289=60),100%,""))))),"")</f>
        <v/>
      </c>
      <c r="BN289" s="218" t="str">
        <f>_xlfn.IFNA(IF(VALUE(INDEX(Producer!$H:$H,MATCH($D289,Producer!$A:$A,0)))=0,"",VALUE(INDEX(Producer!$H:$H,MATCH($D289,Producer!$A:$A,0)))),"")</f>
        <v/>
      </c>
      <c r="BO289" s="153"/>
      <c r="BP289" s="153"/>
      <c r="BQ289" s="219" t="str">
        <f t="shared" si="122"/>
        <v/>
      </c>
      <c r="BR289" s="146"/>
      <c r="BS289" s="146"/>
      <c r="BT289" s="146"/>
      <c r="BU289" s="146"/>
      <c r="BV289" s="219" t="str">
        <f t="shared" si="123"/>
        <v/>
      </c>
      <c r="BW289" s="146"/>
      <c r="BX289" s="146"/>
      <c r="BY289" s="146" t="str">
        <f t="shared" si="124"/>
        <v/>
      </c>
      <c r="BZ289" s="146" t="str">
        <f t="shared" si="125"/>
        <v/>
      </c>
      <c r="CA289" s="146" t="str">
        <f t="shared" si="126"/>
        <v/>
      </c>
      <c r="CB289" s="146" t="str">
        <f t="shared" si="127"/>
        <v/>
      </c>
      <c r="CC289" s="146" t="str">
        <f>_xlfn.IFNA(IF(INDEX(Producer!$P:$P,MATCH($D289,Producer!$A:$A,0))="Help to Buy","Only available","No"),"")</f>
        <v/>
      </c>
      <c r="CD289" s="146" t="str">
        <f>_xlfn.IFNA(IF(INDEX(Producer!$P:$P,MATCH($D289,Producer!$A:$A,0))="Shared Ownership","Only available","No"),"")</f>
        <v/>
      </c>
      <c r="CE289" s="146" t="str">
        <f>_xlfn.IFNA(IF(INDEX(Producer!$P:$P,MATCH($D289,Producer!$A:$A,0))="Right to Buy","Only available","No"),"")</f>
        <v/>
      </c>
      <c r="CF289" s="146" t="str">
        <f t="shared" si="128"/>
        <v/>
      </c>
      <c r="CG289" s="146" t="str">
        <f>_xlfn.IFNA(IF(INDEX(Producer!$P:$P,MATCH($D289,Producer!$A:$A,0))="Retirement Interest Only","Only available","No"),"")</f>
        <v/>
      </c>
      <c r="CH289" s="146" t="str">
        <f t="shared" si="129"/>
        <v/>
      </c>
      <c r="CI289" s="146" t="str">
        <f>_xlfn.IFNA(IF(INDEX(Producer!$P:$P,MATCH($D289,Producer!$A:$A,0))="Intermediary Holiday Let","Only available","No"),"")</f>
        <v/>
      </c>
      <c r="CJ289" s="146" t="str">
        <f t="shared" si="130"/>
        <v/>
      </c>
      <c r="CK289" s="146" t="str">
        <f>_xlfn.IFNA(IF(OR(INDEX(Producer!$P:$P,MATCH($D289,Producer!$A:$A,0))="Intermediary Small HMO",INDEX(Producer!$P:$P,MATCH($D289,Producer!$A:$A,0))="Intermediary Large HMO"),"Only available","No"),"")</f>
        <v/>
      </c>
      <c r="CL289" s="146" t="str">
        <f t="shared" si="131"/>
        <v/>
      </c>
      <c r="CM289" s="146" t="str">
        <f t="shared" si="132"/>
        <v/>
      </c>
      <c r="CN289" s="146" t="str">
        <f t="shared" si="133"/>
        <v/>
      </c>
      <c r="CO289" s="146" t="str">
        <f t="shared" si="134"/>
        <v/>
      </c>
      <c r="CP289" s="146" t="str">
        <f t="shared" si="135"/>
        <v/>
      </c>
      <c r="CQ289" s="146" t="str">
        <f t="shared" si="136"/>
        <v/>
      </c>
      <c r="CR289" s="146" t="str">
        <f t="shared" si="137"/>
        <v/>
      </c>
      <c r="CS289" s="146" t="str">
        <f t="shared" si="138"/>
        <v/>
      </c>
      <c r="CT289" s="146" t="str">
        <f t="shared" si="139"/>
        <v/>
      </c>
      <c r="CU289" s="146"/>
    </row>
    <row r="290" spans="1:99" ht="16.399999999999999" customHeight="1" x14ac:dyDescent="0.35">
      <c r="A290" s="145" t="str">
        <f t="shared" si="112"/>
        <v/>
      </c>
      <c r="B290" s="145" t="str">
        <f>_xlfn.IFNA(_xlfn.CONCAT(INDEX(Producer!$P:$P,MATCH($D290,Producer!$A:$A,0))," ",IF(INDEX(Producer!$N:$N,MATCH($D290,Producer!$A:$A,0))="Yes","Green ",""),IF(AND(INDEX(Producer!$L:$L,MATCH($D290,Producer!$A:$A,0))="No",INDEX(Producer!$C:$C,MATCH($D290,Producer!$A:$A,0))="Fixed"),"Flexit ",""),INDEX(Producer!$B:$B,MATCH($D290,Producer!$A:$A,0))," Year ",INDEX(Producer!$C:$C,MATCH($D290,Producer!$A:$A,0))," ",VALUE(INDEX(Producer!$E:$E,MATCH($D290,Producer!$A:$A,0)))*100,"% LTV",IF(INDEX(Producer!$N:$N,MATCH($D290,Producer!$A:$A,0))="Yes"," (EPC A-C)","")," - ",IF(INDEX(Producer!$D:$D,MATCH($D290,Producer!$A:$A,0))="DLY","Daily","Annual")),"")</f>
        <v/>
      </c>
      <c r="C290" s="146" t="str">
        <f>_xlfn.IFNA(INDEX(Producer!$Q:$Q,MATCH($D290,Producer!$A:$A,0)),"")</f>
        <v/>
      </c>
      <c r="D290" s="146" t="str">
        <f>IFERROR(VALUE(MID(Producer!$R$2,IF($D289="",1/0,FIND(_xlfn.CONCAT($D288,$D289),Producer!$R$2)+10),5)),"")</f>
        <v/>
      </c>
      <c r="E290" s="146" t="str">
        <f t="shared" si="113"/>
        <v/>
      </c>
      <c r="F290" s="146"/>
      <c r="G290" s="147" t="str">
        <f>_xlfn.IFNA(VALUE(INDEX(Producer!$F:$F,MATCH($D290,Producer!$A:$A,0)))*100,"")</f>
        <v/>
      </c>
      <c r="H290" s="216" t="str">
        <f>_xlfn.IFNA(IFERROR(DATEVALUE(INDEX(Producer!$M:$M,MATCH($D290,Producer!$A:$A,0))),(INDEX(Producer!$M:$M,MATCH($D290,Producer!$A:$A,0)))),"")</f>
        <v/>
      </c>
      <c r="I290" s="217" t="str">
        <f>_xlfn.IFNA(VALUE(INDEX(Producer!$B:$B,MATCH($D290,Producer!$A:$A,0)))*12,"")</f>
        <v/>
      </c>
      <c r="J290" s="146" t="str">
        <f>_xlfn.IFNA(IF(C290="Residential",IF(VALUE(INDEX(Producer!$B:$B,MATCH($D290,Producer!$A:$A,0)))&lt;5,Constants!$C$10,""),IF(VALUE(INDEX(Producer!$B:$B,MATCH($D290,Producer!$A:$A,0)))&lt;5,Constants!$C$11,"")),"")</f>
        <v/>
      </c>
      <c r="K290" s="216" t="str">
        <f>_xlfn.IFNA(IF(($I290)&lt;60,DATE(YEAR(H290)+(5-VALUE(INDEX(Producer!$B:$B,MATCH($D290,Producer!$A:$A,0)))),MONTH(H290),DAY(H290)),""),"")</f>
        <v/>
      </c>
      <c r="L290" s="153" t="str">
        <f t="shared" si="114"/>
        <v/>
      </c>
      <c r="M290" s="146"/>
      <c r="N290" s="148"/>
      <c r="O290" s="148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  <c r="AA290" s="146"/>
      <c r="AB290" s="146"/>
      <c r="AC290" s="146"/>
      <c r="AD290" s="146"/>
      <c r="AE290" s="146"/>
      <c r="AF290" s="146"/>
      <c r="AG290" s="146"/>
      <c r="AH290" s="146"/>
      <c r="AI290" s="146"/>
      <c r="AJ290" s="146"/>
      <c r="AK290" s="146" t="str">
        <f>IF(D290="","",IF(C290="Residential",Constants!$B$10,Constants!$B$11))</f>
        <v/>
      </c>
      <c r="AL290" s="146" t="str">
        <f t="shared" si="115"/>
        <v/>
      </c>
      <c r="AM290" s="206" t="str">
        <f t="shared" si="116"/>
        <v/>
      </c>
      <c r="AN290" s="146" t="str">
        <f t="shared" si="117"/>
        <v/>
      </c>
      <c r="AO290" s="149" t="str">
        <f t="shared" si="118"/>
        <v/>
      </c>
      <c r="AP290" s="150" t="str">
        <f t="shared" si="119"/>
        <v/>
      </c>
      <c r="AQ290" s="146" t="str">
        <f>IFERROR(_xlfn.IFNA(IF($BA290="No",0,IF(INDEX(Constants!B:B,MATCH(($I290/12),Constants!$A:$A,0))=0,0,INDEX(Constants!B:B,MATCH(($I290/12),Constants!$A:$A,0)))),0),"")</f>
        <v/>
      </c>
      <c r="AR290" s="146" t="str">
        <f>IFERROR(_xlfn.IFNA(IF($BA290="No",0,IF(INDEX(Constants!C:C,MATCH(($I290/12),Constants!$A:$A,0))=0,0,INDEX(Constants!C:C,MATCH(($I290/12),Constants!$A:$A,0)))),0),"")</f>
        <v/>
      </c>
      <c r="AS290" s="146" t="str">
        <f>IFERROR(_xlfn.IFNA(IF($BA290="No",0,IF(INDEX(Constants!D:D,MATCH(($I290/12),Constants!$A:$A,0))=0,0,INDEX(Constants!D:D,MATCH(($I290/12),Constants!$A:$A,0)))),0),"")</f>
        <v/>
      </c>
      <c r="AT290" s="146" t="str">
        <f>IFERROR(_xlfn.IFNA(IF($BA290="No",0,IF(INDEX(Constants!E:E,MATCH(($I290/12),Constants!$A:$A,0))=0,0,INDEX(Constants!E:E,MATCH(($I290/12),Constants!$A:$A,0)))),0),"")</f>
        <v/>
      </c>
      <c r="AU290" s="146" t="str">
        <f>IFERROR(_xlfn.IFNA(IF($BA290="No",0,IF(INDEX(Constants!F:F,MATCH(($I290/12),Constants!$A:$A,0))=0,0,INDEX(Constants!F:F,MATCH(($I290/12),Constants!$A:$A,0)))),0),"")</f>
        <v/>
      </c>
      <c r="AV290" s="146" t="str">
        <f>IFERROR(_xlfn.IFNA(IF($BA290="No",0,IF(INDEX(Constants!G:G,MATCH(($I290/12),Constants!$A:$A,0))=0,0,INDEX(Constants!G:G,MATCH(($I290/12),Constants!$A:$A,0)))),0),"")</f>
        <v/>
      </c>
      <c r="AW290" s="146" t="str">
        <f>IFERROR(_xlfn.IFNA(IF($BA290="No",0,IF(INDEX(Constants!H:H,MATCH(($I290/12),Constants!$A:$A,0))=0,0,INDEX(Constants!H:H,MATCH(($I290/12),Constants!$A:$A,0)))),0),"")</f>
        <v/>
      </c>
      <c r="AX290" s="146" t="str">
        <f>IFERROR(_xlfn.IFNA(IF($BA290="No",0,IF(INDEX(Constants!I:I,MATCH(($I290/12),Constants!$A:$A,0))=0,0,INDEX(Constants!I:I,MATCH(($I290/12),Constants!$A:$A,0)))),0),"")</f>
        <v/>
      </c>
      <c r="AY290" s="146" t="str">
        <f>IFERROR(_xlfn.IFNA(IF($BA290="No",0,IF(INDEX(Constants!J:J,MATCH(($I290/12),Constants!$A:$A,0))=0,0,INDEX(Constants!J:J,MATCH(($I290/12),Constants!$A:$A,0)))),0),"")</f>
        <v/>
      </c>
      <c r="AZ290" s="146" t="str">
        <f>IFERROR(_xlfn.IFNA(IF($BA290="No",0,IF(INDEX(Constants!K:K,MATCH(($I290/12),Constants!$A:$A,0))=0,0,INDEX(Constants!K:K,MATCH(($I290/12),Constants!$A:$A,0)))),0),"")</f>
        <v/>
      </c>
      <c r="BA290" s="147" t="str">
        <f>_xlfn.IFNA(INDEX(Producer!$L:$L,MATCH($D290,Producer!$A:$A,0)),"")</f>
        <v/>
      </c>
      <c r="BB290" s="146" t="str">
        <f>IFERROR(IF(AQ290=0,"",IF(($I290/12)=15,_xlfn.CONCAT(Constants!$N$7,TEXT(DATE(YEAR(H290)-(($I290/12)-3),MONTH(H290),DAY(H290)),"dd/mm/yyyy"),", ",Constants!$P$7,TEXT(DATE(YEAR(H290)-(($I290/12)-8),MONTH(H290),DAY(H290)),"dd/mm/yyyy"),", ",Constants!$T$7,TEXT(DATE(YEAR(H290)-(($I290/12)-11),MONTH(H290),DAY(H290)),"dd/mm/yyyy"),", ",Constants!$V$7,TEXT(DATE(YEAR(H290)-(($I290/12)-13),MONTH(H290),DAY(H290)),"dd/mm/yyyy"),", ",Constants!$W$7,TEXT($H290,"dd/mm/yyyy")),IF(($I290/12)=10,_xlfn.CONCAT(Constants!$N$6,TEXT(DATE(YEAR(H290)-(($I290/12)-2),MONTH(H290),DAY(H290)),"dd/mm/yyyy"),", ",Constants!$P$6,TEXT(DATE(YEAR(H290)-(($I290/12)-6),MONTH(H290),DAY(H290)),"dd/mm/yyyy"),", ",Constants!$T$6,TEXT(DATE(YEAR(H290)-(($I290/12)-8),MONTH(H290),DAY(H290)),"dd/mm/yyyy"),", ",Constants!$V$6,TEXT(DATE(YEAR(H290)-(($I290/12)-9),MONTH(H290),DAY(H290)),"dd/mm/yyyy"),", ",Constants!$W$6,TEXT($H290,"dd/mm/yyyy")),IF(($I290/12)=5,_xlfn.CONCAT(Constants!$N$5,TEXT(DATE(YEAR(H290)-(($I290/12)-1),MONTH(H290),DAY(H290)),"dd/mm/yyyy"),", ",Constants!$O$5,TEXT(DATE(YEAR(H290)-(($I290/12)-2),MONTH(H290),DAY(H290)),"dd/mm/yyyy"),", ",Constants!$P$5,TEXT(DATE(YEAR(H290)-(($I290/12)-3),MONTH(H290),DAY(H290)),"dd/mm/yyyy"),", ",Constants!$Q$5,TEXT(DATE(YEAR(H290)-(($I290/12)-4),MONTH(H290),DAY(H290)),"dd/mm/yyyy"),", ",Constants!$R$5,TEXT($H290,"dd/mm/yyyy")),IF(($I290/12)=3,_xlfn.CONCAT(Constants!$N$4,TEXT(DATE(YEAR(H290)-(($I290/12)-1),MONTH(H290),DAY(H290)),"dd/mm/yyyy"),", ",Constants!$O$4,TEXT(DATE(YEAR(H290)-(($I290/12)-2),MONTH(H290),DAY(H290)),"dd/mm/yyyy"),", ",Constants!$P$4,TEXT($H290,"dd/mm/yyyy")),IF(($I290/12)=2,_xlfn.CONCAT(Constants!$N$3,TEXT(DATE(YEAR(H290)-(($I290/12)-1),MONTH(H290),DAY(H290)),"dd/mm/yyyy"),", ",Constants!$O$3,TEXT($H290,"dd/mm/yyyy")),IF(($I290/12)=1,_xlfn.CONCAT(Constants!$N$2,TEXT($H290,"dd/mm/yyyy")),"Update Constants"))))))),"")</f>
        <v/>
      </c>
      <c r="BC290" s="147" t="str">
        <f>_xlfn.IFNA(VALUE(INDEX(Producer!$K:$K,MATCH($D290,Producer!$A:$A,0))),"")</f>
        <v/>
      </c>
      <c r="BD290" s="147" t="str">
        <f>_xlfn.IFNA(INDEX(Producer!$I:$I,MATCH($D290,Producer!$A:$A,0)),"")</f>
        <v/>
      </c>
      <c r="BE290" s="147" t="str">
        <f t="shared" si="120"/>
        <v/>
      </c>
      <c r="BF290" s="147"/>
      <c r="BG290" s="147"/>
      <c r="BH290" s="151" t="str">
        <f>_xlfn.IFNA(INDEX(Constants!$B:$B,MATCH(BC290,Constants!A:A,0)),"")</f>
        <v/>
      </c>
      <c r="BI290" s="147" t="str">
        <f>IF(LEFT(B290,15)="Limited Company",Constants!$D$16,IFERROR(_xlfn.IFNA(IF(C290="Residential",IF(BK290&lt;75,INDEX(Constants!$B:$B,MATCH(VALUE(60)/100,Constants!$A:$A,0)),INDEX(Constants!$B:$B,MATCH(VALUE(BK290)/100,Constants!$A:$A,0))),IF(BK290&lt;60,INDEX(Constants!$C:$C,MATCH(VALUE(60)/100,Constants!$A:$A,0)),INDEX(Constants!$C:$C,MATCH(VALUE(BK290)/100,Constants!$A:$A,0)))),""),""))</f>
        <v/>
      </c>
      <c r="BJ290" s="147" t="str">
        <f t="shared" si="121"/>
        <v/>
      </c>
      <c r="BK290" s="147" t="str">
        <f>_xlfn.IFNA(VALUE(INDEX(Producer!$E:$E,MATCH($D290,Producer!$A:$A,0)))*100,"")</f>
        <v/>
      </c>
      <c r="BL290" s="146" t="str">
        <f>_xlfn.IFNA(IF(IFERROR(FIND("Part &amp; Part",B290),-10)&gt;0,"PP",IF(OR(LEFT(B290,25)="Residential Interest Only",INDEX(Producer!$P:$P,MATCH($D290,Producer!$A:$A,0))="IO",INDEX(Producer!$P:$P,MATCH($D290,Producer!$A:$A,0))="Retirement Interest Only"),"IO",IF($C290="BuyToLet","CI, IO","CI"))),"")</f>
        <v/>
      </c>
      <c r="BM290" s="152" t="str">
        <f>_xlfn.IFNA(IF(BL290="IO",100%,IF(AND(INDEX(Producer!$P:$P,MATCH($D290,Producer!$A:$A,0))="Residential Interest Only Part &amp; Part",BK290=75),80%,IF(C290="BuyToLet",100%,IF(BL290="Interest Only",100%,IF(AND(INDEX(Producer!$P:$P,MATCH($D290,Producer!$A:$A,0))="Residential Interest Only Part &amp; Part",BK290=60),100%,""))))),"")</f>
        <v/>
      </c>
      <c r="BN290" s="218" t="str">
        <f>_xlfn.IFNA(IF(VALUE(INDEX(Producer!$H:$H,MATCH($D290,Producer!$A:$A,0)))=0,"",VALUE(INDEX(Producer!$H:$H,MATCH($D290,Producer!$A:$A,0)))),"")</f>
        <v/>
      </c>
      <c r="BO290" s="153"/>
      <c r="BP290" s="153"/>
      <c r="BQ290" s="219" t="str">
        <f t="shared" si="122"/>
        <v/>
      </c>
      <c r="BR290" s="146"/>
      <c r="BS290" s="146"/>
      <c r="BT290" s="146"/>
      <c r="BU290" s="146"/>
      <c r="BV290" s="219" t="str">
        <f t="shared" si="123"/>
        <v/>
      </c>
      <c r="BW290" s="146"/>
      <c r="BX290" s="146"/>
      <c r="BY290" s="146" t="str">
        <f t="shared" si="124"/>
        <v/>
      </c>
      <c r="BZ290" s="146" t="str">
        <f t="shared" si="125"/>
        <v/>
      </c>
      <c r="CA290" s="146" t="str">
        <f t="shared" si="126"/>
        <v/>
      </c>
      <c r="CB290" s="146" t="str">
        <f t="shared" si="127"/>
        <v/>
      </c>
      <c r="CC290" s="146" t="str">
        <f>_xlfn.IFNA(IF(INDEX(Producer!$P:$P,MATCH($D290,Producer!$A:$A,0))="Help to Buy","Only available","No"),"")</f>
        <v/>
      </c>
      <c r="CD290" s="146" t="str">
        <f>_xlfn.IFNA(IF(INDEX(Producer!$P:$P,MATCH($D290,Producer!$A:$A,0))="Shared Ownership","Only available","No"),"")</f>
        <v/>
      </c>
      <c r="CE290" s="146" t="str">
        <f>_xlfn.IFNA(IF(INDEX(Producer!$P:$P,MATCH($D290,Producer!$A:$A,0))="Right to Buy","Only available","No"),"")</f>
        <v/>
      </c>
      <c r="CF290" s="146" t="str">
        <f t="shared" si="128"/>
        <v/>
      </c>
      <c r="CG290" s="146" t="str">
        <f>_xlfn.IFNA(IF(INDEX(Producer!$P:$P,MATCH($D290,Producer!$A:$A,0))="Retirement Interest Only","Only available","No"),"")</f>
        <v/>
      </c>
      <c r="CH290" s="146" t="str">
        <f t="shared" si="129"/>
        <v/>
      </c>
      <c r="CI290" s="146" t="str">
        <f>_xlfn.IFNA(IF(INDEX(Producer!$P:$P,MATCH($D290,Producer!$A:$A,0))="Intermediary Holiday Let","Only available","No"),"")</f>
        <v/>
      </c>
      <c r="CJ290" s="146" t="str">
        <f t="shared" si="130"/>
        <v/>
      </c>
      <c r="CK290" s="146" t="str">
        <f>_xlfn.IFNA(IF(OR(INDEX(Producer!$P:$P,MATCH($D290,Producer!$A:$A,0))="Intermediary Small HMO",INDEX(Producer!$P:$P,MATCH($D290,Producer!$A:$A,0))="Intermediary Large HMO"),"Only available","No"),"")</f>
        <v/>
      </c>
      <c r="CL290" s="146" t="str">
        <f t="shared" si="131"/>
        <v/>
      </c>
      <c r="CM290" s="146" t="str">
        <f t="shared" si="132"/>
        <v/>
      </c>
      <c r="CN290" s="146" t="str">
        <f t="shared" si="133"/>
        <v/>
      </c>
      <c r="CO290" s="146" t="str">
        <f t="shared" si="134"/>
        <v/>
      </c>
      <c r="CP290" s="146" t="str">
        <f t="shared" si="135"/>
        <v/>
      </c>
      <c r="CQ290" s="146" t="str">
        <f t="shared" si="136"/>
        <v/>
      </c>
      <c r="CR290" s="146" t="str">
        <f t="shared" si="137"/>
        <v/>
      </c>
      <c r="CS290" s="146" t="str">
        <f t="shared" si="138"/>
        <v/>
      </c>
      <c r="CT290" s="146" t="str">
        <f t="shared" si="139"/>
        <v/>
      </c>
      <c r="CU290" s="146"/>
    </row>
    <row r="291" spans="1:99" ht="16.399999999999999" customHeight="1" x14ac:dyDescent="0.35">
      <c r="A291" s="145" t="str">
        <f t="shared" si="112"/>
        <v/>
      </c>
      <c r="B291" s="145" t="str">
        <f>_xlfn.IFNA(_xlfn.CONCAT(INDEX(Producer!$P:$P,MATCH($D291,Producer!$A:$A,0))," ",IF(INDEX(Producer!$N:$N,MATCH($D291,Producer!$A:$A,0))="Yes","Green ",""),IF(AND(INDEX(Producer!$L:$L,MATCH($D291,Producer!$A:$A,0))="No",INDEX(Producer!$C:$C,MATCH($D291,Producer!$A:$A,0))="Fixed"),"Flexit ",""),INDEX(Producer!$B:$B,MATCH($D291,Producer!$A:$A,0))," Year ",INDEX(Producer!$C:$C,MATCH($D291,Producer!$A:$A,0))," ",VALUE(INDEX(Producer!$E:$E,MATCH($D291,Producer!$A:$A,0)))*100,"% LTV",IF(INDEX(Producer!$N:$N,MATCH($D291,Producer!$A:$A,0))="Yes"," (EPC A-C)","")," - ",IF(INDEX(Producer!$D:$D,MATCH($D291,Producer!$A:$A,0))="DLY","Daily","Annual")),"")</f>
        <v/>
      </c>
      <c r="C291" s="146" t="str">
        <f>_xlfn.IFNA(INDEX(Producer!$Q:$Q,MATCH($D291,Producer!$A:$A,0)),"")</f>
        <v/>
      </c>
      <c r="D291" s="146" t="str">
        <f>IFERROR(VALUE(MID(Producer!$R$2,IF($D290="",1/0,FIND(_xlfn.CONCAT($D289,$D290),Producer!$R$2)+10),5)),"")</f>
        <v/>
      </c>
      <c r="E291" s="146" t="str">
        <f t="shared" si="113"/>
        <v/>
      </c>
      <c r="F291" s="146"/>
      <c r="G291" s="147" t="str">
        <f>_xlfn.IFNA(VALUE(INDEX(Producer!$F:$F,MATCH($D291,Producer!$A:$A,0)))*100,"")</f>
        <v/>
      </c>
      <c r="H291" s="216" t="str">
        <f>_xlfn.IFNA(IFERROR(DATEVALUE(INDEX(Producer!$M:$M,MATCH($D291,Producer!$A:$A,0))),(INDEX(Producer!$M:$M,MATCH($D291,Producer!$A:$A,0)))),"")</f>
        <v/>
      </c>
      <c r="I291" s="217" t="str">
        <f>_xlfn.IFNA(VALUE(INDEX(Producer!$B:$B,MATCH($D291,Producer!$A:$A,0)))*12,"")</f>
        <v/>
      </c>
      <c r="J291" s="146" t="str">
        <f>_xlfn.IFNA(IF(C291="Residential",IF(VALUE(INDEX(Producer!$B:$B,MATCH($D291,Producer!$A:$A,0)))&lt;5,Constants!$C$10,""),IF(VALUE(INDEX(Producer!$B:$B,MATCH($D291,Producer!$A:$A,0)))&lt;5,Constants!$C$11,"")),"")</f>
        <v/>
      </c>
      <c r="K291" s="216" t="str">
        <f>_xlfn.IFNA(IF(($I291)&lt;60,DATE(YEAR(H291)+(5-VALUE(INDEX(Producer!$B:$B,MATCH($D291,Producer!$A:$A,0)))),MONTH(H291),DAY(H291)),""),"")</f>
        <v/>
      </c>
      <c r="L291" s="153" t="str">
        <f t="shared" si="114"/>
        <v/>
      </c>
      <c r="M291" s="146"/>
      <c r="N291" s="148"/>
      <c r="O291" s="148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  <c r="AC291" s="146"/>
      <c r="AD291" s="146"/>
      <c r="AE291" s="146"/>
      <c r="AF291" s="146"/>
      <c r="AG291" s="146"/>
      <c r="AH291" s="146"/>
      <c r="AI291" s="146"/>
      <c r="AJ291" s="146"/>
      <c r="AK291" s="146" t="str">
        <f>IF(D291="","",IF(C291="Residential",Constants!$B$10,Constants!$B$11))</f>
        <v/>
      </c>
      <c r="AL291" s="146" t="str">
        <f t="shared" si="115"/>
        <v/>
      </c>
      <c r="AM291" s="206" t="str">
        <f t="shared" si="116"/>
        <v/>
      </c>
      <c r="AN291" s="146" t="str">
        <f t="shared" si="117"/>
        <v/>
      </c>
      <c r="AO291" s="149" t="str">
        <f t="shared" si="118"/>
        <v/>
      </c>
      <c r="AP291" s="150" t="str">
        <f t="shared" si="119"/>
        <v/>
      </c>
      <c r="AQ291" s="146" t="str">
        <f>IFERROR(_xlfn.IFNA(IF($BA291="No",0,IF(INDEX(Constants!B:B,MATCH(($I291/12),Constants!$A:$A,0))=0,0,INDEX(Constants!B:B,MATCH(($I291/12),Constants!$A:$A,0)))),0),"")</f>
        <v/>
      </c>
      <c r="AR291" s="146" t="str">
        <f>IFERROR(_xlfn.IFNA(IF($BA291="No",0,IF(INDEX(Constants!C:C,MATCH(($I291/12),Constants!$A:$A,0))=0,0,INDEX(Constants!C:C,MATCH(($I291/12),Constants!$A:$A,0)))),0),"")</f>
        <v/>
      </c>
      <c r="AS291" s="146" t="str">
        <f>IFERROR(_xlfn.IFNA(IF($BA291="No",0,IF(INDEX(Constants!D:D,MATCH(($I291/12),Constants!$A:$A,0))=0,0,INDEX(Constants!D:D,MATCH(($I291/12),Constants!$A:$A,0)))),0),"")</f>
        <v/>
      </c>
      <c r="AT291" s="146" t="str">
        <f>IFERROR(_xlfn.IFNA(IF($BA291="No",0,IF(INDEX(Constants!E:E,MATCH(($I291/12),Constants!$A:$A,0))=0,0,INDEX(Constants!E:E,MATCH(($I291/12),Constants!$A:$A,0)))),0),"")</f>
        <v/>
      </c>
      <c r="AU291" s="146" t="str">
        <f>IFERROR(_xlfn.IFNA(IF($BA291="No",0,IF(INDEX(Constants!F:F,MATCH(($I291/12),Constants!$A:$A,0))=0,0,INDEX(Constants!F:F,MATCH(($I291/12),Constants!$A:$A,0)))),0),"")</f>
        <v/>
      </c>
      <c r="AV291" s="146" t="str">
        <f>IFERROR(_xlfn.IFNA(IF($BA291="No",0,IF(INDEX(Constants!G:G,MATCH(($I291/12),Constants!$A:$A,0))=0,0,INDEX(Constants!G:G,MATCH(($I291/12),Constants!$A:$A,0)))),0),"")</f>
        <v/>
      </c>
      <c r="AW291" s="146" t="str">
        <f>IFERROR(_xlfn.IFNA(IF($BA291="No",0,IF(INDEX(Constants!H:H,MATCH(($I291/12),Constants!$A:$A,0))=0,0,INDEX(Constants!H:H,MATCH(($I291/12),Constants!$A:$A,0)))),0),"")</f>
        <v/>
      </c>
      <c r="AX291" s="146" t="str">
        <f>IFERROR(_xlfn.IFNA(IF($BA291="No",0,IF(INDEX(Constants!I:I,MATCH(($I291/12),Constants!$A:$A,0))=0,0,INDEX(Constants!I:I,MATCH(($I291/12),Constants!$A:$A,0)))),0),"")</f>
        <v/>
      </c>
      <c r="AY291" s="146" t="str">
        <f>IFERROR(_xlfn.IFNA(IF($BA291="No",0,IF(INDEX(Constants!J:J,MATCH(($I291/12),Constants!$A:$A,0))=0,0,INDEX(Constants!J:J,MATCH(($I291/12),Constants!$A:$A,0)))),0),"")</f>
        <v/>
      </c>
      <c r="AZ291" s="146" t="str">
        <f>IFERROR(_xlfn.IFNA(IF($BA291="No",0,IF(INDEX(Constants!K:K,MATCH(($I291/12),Constants!$A:$A,0))=0,0,INDEX(Constants!K:K,MATCH(($I291/12),Constants!$A:$A,0)))),0),"")</f>
        <v/>
      </c>
      <c r="BA291" s="147" t="str">
        <f>_xlfn.IFNA(INDEX(Producer!$L:$L,MATCH($D291,Producer!$A:$A,0)),"")</f>
        <v/>
      </c>
      <c r="BB291" s="146" t="str">
        <f>IFERROR(IF(AQ291=0,"",IF(($I291/12)=15,_xlfn.CONCAT(Constants!$N$7,TEXT(DATE(YEAR(H291)-(($I291/12)-3),MONTH(H291),DAY(H291)),"dd/mm/yyyy"),", ",Constants!$P$7,TEXT(DATE(YEAR(H291)-(($I291/12)-8),MONTH(H291),DAY(H291)),"dd/mm/yyyy"),", ",Constants!$T$7,TEXT(DATE(YEAR(H291)-(($I291/12)-11),MONTH(H291),DAY(H291)),"dd/mm/yyyy"),", ",Constants!$V$7,TEXT(DATE(YEAR(H291)-(($I291/12)-13),MONTH(H291),DAY(H291)),"dd/mm/yyyy"),", ",Constants!$W$7,TEXT($H291,"dd/mm/yyyy")),IF(($I291/12)=10,_xlfn.CONCAT(Constants!$N$6,TEXT(DATE(YEAR(H291)-(($I291/12)-2),MONTH(H291),DAY(H291)),"dd/mm/yyyy"),", ",Constants!$P$6,TEXT(DATE(YEAR(H291)-(($I291/12)-6),MONTH(H291),DAY(H291)),"dd/mm/yyyy"),", ",Constants!$T$6,TEXT(DATE(YEAR(H291)-(($I291/12)-8),MONTH(H291),DAY(H291)),"dd/mm/yyyy"),", ",Constants!$V$6,TEXT(DATE(YEAR(H291)-(($I291/12)-9),MONTH(H291),DAY(H291)),"dd/mm/yyyy"),", ",Constants!$W$6,TEXT($H291,"dd/mm/yyyy")),IF(($I291/12)=5,_xlfn.CONCAT(Constants!$N$5,TEXT(DATE(YEAR(H291)-(($I291/12)-1),MONTH(H291),DAY(H291)),"dd/mm/yyyy"),", ",Constants!$O$5,TEXT(DATE(YEAR(H291)-(($I291/12)-2),MONTH(H291),DAY(H291)),"dd/mm/yyyy"),", ",Constants!$P$5,TEXT(DATE(YEAR(H291)-(($I291/12)-3),MONTH(H291),DAY(H291)),"dd/mm/yyyy"),", ",Constants!$Q$5,TEXT(DATE(YEAR(H291)-(($I291/12)-4),MONTH(H291),DAY(H291)),"dd/mm/yyyy"),", ",Constants!$R$5,TEXT($H291,"dd/mm/yyyy")),IF(($I291/12)=3,_xlfn.CONCAT(Constants!$N$4,TEXT(DATE(YEAR(H291)-(($I291/12)-1),MONTH(H291),DAY(H291)),"dd/mm/yyyy"),", ",Constants!$O$4,TEXT(DATE(YEAR(H291)-(($I291/12)-2),MONTH(H291),DAY(H291)),"dd/mm/yyyy"),", ",Constants!$P$4,TEXT($H291,"dd/mm/yyyy")),IF(($I291/12)=2,_xlfn.CONCAT(Constants!$N$3,TEXT(DATE(YEAR(H291)-(($I291/12)-1),MONTH(H291),DAY(H291)),"dd/mm/yyyy"),", ",Constants!$O$3,TEXT($H291,"dd/mm/yyyy")),IF(($I291/12)=1,_xlfn.CONCAT(Constants!$N$2,TEXT($H291,"dd/mm/yyyy")),"Update Constants"))))))),"")</f>
        <v/>
      </c>
      <c r="BC291" s="147" t="str">
        <f>_xlfn.IFNA(VALUE(INDEX(Producer!$K:$K,MATCH($D291,Producer!$A:$A,0))),"")</f>
        <v/>
      </c>
      <c r="BD291" s="147" t="str">
        <f>_xlfn.IFNA(INDEX(Producer!$I:$I,MATCH($D291,Producer!$A:$A,0)),"")</f>
        <v/>
      </c>
      <c r="BE291" s="147" t="str">
        <f t="shared" si="120"/>
        <v/>
      </c>
      <c r="BF291" s="147"/>
      <c r="BG291" s="147"/>
      <c r="BH291" s="151" t="str">
        <f>_xlfn.IFNA(INDEX(Constants!$B:$B,MATCH(BC291,Constants!A:A,0)),"")</f>
        <v/>
      </c>
      <c r="BI291" s="147" t="str">
        <f>IF(LEFT(B291,15)="Limited Company",Constants!$D$16,IFERROR(_xlfn.IFNA(IF(C291="Residential",IF(BK291&lt;75,INDEX(Constants!$B:$B,MATCH(VALUE(60)/100,Constants!$A:$A,0)),INDEX(Constants!$B:$B,MATCH(VALUE(BK291)/100,Constants!$A:$A,0))),IF(BK291&lt;60,INDEX(Constants!$C:$C,MATCH(VALUE(60)/100,Constants!$A:$A,0)),INDEX(Constants!$C:$C,MATCH(VALUE(BK291)/100,Constants!$A:$A,0)))),""),""))</f>
        <v/>
      </c>
      <c r="BJ291" s="147" t="str">
        <f t="shared" si="121"/>
        <v/>
      </c>
      <c r="BK291" s="147" t="str">
        <f>_xlfn.IFNA(VALUE(INDEX(Producer!$E:$E,MATCH($D291,Producer!$A:$A,0)))*100,"")</f>
        <v/>
      </c>
      <c r="BL291" s="146" t="str">
        <f>_xlfn.IFNA(IF(IFERROR(FIND("Part &amp; Part",B291),-10)&gt;0,"PP",IF(OR(LEFT(B291,25)="Residential Interest Only",INDEX(Producer!$P:$P,MATCH($D291,Producer!$A:$A,0))="IO",INDEX(Producer!$P:$P,MATCH($D291,Producer!$A:$A,0))="Retirement Interest Only"),"IO",IF($C291="BuyToLet","CI, IO","CI"))),"")</f>
        <v/>
      </c>
      <c r="BM291" s="152" t="str">
        <f>_xlfn.IFNA(IF(BL291="IO",100%,IF(AND(INDEX(Producer!$P:$P,MATCH($D291,Producer!$A:$A,0))="Residential Interest Only Part &amp; Part",BK291=75),80%,IF(C291="BuyToLet",100%,IF(BL291="Interest Only",100%,IF(AND(INDEX(Producer!$P:$P,MATCH($D291,Producer!$A:$A,0))="Residential Interest Only Part &amp; Part",BK291=60),100%,""))))),"")</f>
        <v/>
      </c>
      <c r="BN291" s="218" t="str">
        <f>_xlfn.IFNA(IF(VALUE(INDEX(Producer!$H:$H,MATCH($D291,Producer!$A:$A,0)))=0,"",VALUE(INDEX(Producer!$H:$H,MATCH($D291,Producer!$A:$A,0)))),"")</f>
        <v/>
      </c>
      <c r="BO291" s="153"/>
      <c r="BP291" s="153"/>
      <c r="BQ291" s="219" t="str">
        <f t="shared" si="122"/>
        <v/>
      </c>
      <c r="BR291" s="146"/>
      <c r="BS291" s="146"/>
      <c r="BT291" s="146"/>
      <c r="BU291" s="146"/>
      <c r="BV291" s="219" t="str">
        <f t="shared" si="123"/>
        <v/>
      </c>
      <c r="BW291" s="146"/>
      <c r="BX291" s="146"/>
      <c r="BY291" s="146" t="str">
        <f t="shared" si="124"/>
        <v/>
      </c>
      <c r="BZ291" s="146" t="str">
        <f t="shared" si="125"/>
        <v/>
      </c>
      <c r="CA291" s="146" t="str">
        <f t="shared" si="126"/>
        <v/>
      </c>
      <c r="CB291" s="146" t="str">
        <f t="shared" si="127"/>
        <v/>
      </c>
      <c r="CC291" s="146" t="str">
        <f>_xlfn.IFNA(IF(INDEX(Producer!$P:$P,MATCH($D291,Producer!$A:$A,0))="Help to Buy","Only available","No"),"")</f>
        <v/>
      </c>
      <c r="CD291" s="146" t="str">
        <f>_xlfn.IFNA(IF(INDEX(Producer!$P:$P,MATCH($D291,Producer!$A:$A,0))="Shared Ownership","Only available","No"),"")</f>
        <v/>
      </c>
      <c r="CE291" s="146" t="str">
        <f>_xlfn.IFNA(IF(INDEX(Producer!$P:$P,MATCH($D291,Producer!$A:$A,0))="Right to Buy","Only available","No"),"")</f>
        <v/>
      </c>
      <c r="CF291" s="146" t="str">
        <f t="shared" si="128"/>
        <v/>
      </c>
      <c r="CG291" s="146" t="str">
        <f>_xlfn.IFNA(IF(INDEX(Producer!$P:$P,MATCH($D291,Producer!$A:$A,0))="Retirement Interest Only","Only available","No"),"")</f>
        <v/>
      </c>
      <c r="CH291" s="146" t="str">
        <f t="shared" si="129"/>
        <v/>
      </c>
      <c r="CI291" s="146" t="str">
        <f>_xlfn.IFNA(IF(INDEX(Producer!$P:$P,MATCH($D291,Producer!$A:$A,0))="Intermediary Holiday Let","Only available","No"),"")</f>
        <v/>
      </c>
      <c r="CJ291" s="146" t="str">
        <f t="shared" si="130"/>
        <v/>
      </c>
      <c r="CK291" s="146" t="str">
        <f>_xlfn.IFNA(IF(OR(INDEX(Producer!$P:$P,MATCH($D291,Producer!$A:$A,0))="Intermediary Small HMO",INDEX(Producer!$P:$P,MATCH($D291,Producer!$A:$A,0))="Intermediary Large HMO"),"Only available","No"),"")</f>
        <v/>
      </c>
      <c r="CL291" s="146" t="str">
        <f t="shared" si="131"/>
        <v/>
      </c>
      <c r="CM291" s="146" t="str">
        <f t="shared" si="132"/>
        <v/>
      </c>
      <c r="CN291" s="146" t="str">
        <f t="shared" si="133"/>
        <v/>
      </c>
      <c r="CO291" s="146" t="str">
        <f t="shared" si="134"/>
        <v/>
      </c>
      <c r="CP291" s="146" t="str">
        <f t="shared" si="135"/>
        <v/>
      </c>
      <c r="CQ291" s="146" t="str">
        <f t="shared" si="136"/>
        <v/>
      </c>
      <c r="CR291" s="146" t="str">
        <f t="shared" si="137"/>
        <v/>
      </c>
      <c r="CS291" s="146" t="str">
        <f t="shared" si="138"/>
        <v/>
      </c>
      <c r="CT291" s="146" t="str">
        <f t="shared" si="139"/>
        <v/>
      </c>
      <c r="CU291" s="146"/>
    </row>
    <row r="292" spans="1:99" ht="16.399999999999999" customHeight="1" x14ac:dyDescent="0.35">
      <c r="A292" s="145" t="str">
        <f t="shared" si="112"/>
        <v/>
      </c>
      <c r="B292" s="145" t="str">
        <f>_xlfn.IFNA(_xlfn.CONCAT(INDEX(Producer!$P:$P,MATCH($D292,Producer!$A:$A,0))," ",IF(INDEX(Producer!$N:$N,MATCH($D292,Producer!$A:$A,0))="Yes","Green ",""),IF(AND(INDEX(Producer!$L:$L,MATCH($D292,Producer!$A:$A,0))="No",INDEX(Producer!$C:$C,MATCH($D292,Producer!$A:$A,0))="Fixed"),"Flexit ",""),INDEX(Producer!$B:$B,MATCH($D292,Producer!$A:$A,0))," Year ",INDEX(Producer!$C:$C,MATCH($D292,Producer!$A:$A,0))," ",VALUE(INDEX(Producer!$E:$E,MATCH($D292,Producer!$A:$A,0)))*100,"% LTV",IF(INDEX(Producer!$N:$N,MATCH($D292,Producer!$A:$A,0))="Yes"," (EPC A-C)","")," - ",IF(INDEX(Producer!$D:$D,MATCH($D292,Producer!$A:$A,0))="DLY","Daily","Annual")),"")</f>
        <v/>
      </c>
      <c r="C292" s="146" t="str">
        <f>_xlfn.IFNA(INDEX(Producer!$Q:$Q,MATCH($D292,Producer!$A:$A,0)),"")</f>
        <v/>
      </c>
      <c r="D292" s="146" t="str">
        <f>IFERROR(VALUE(MID(Producer!$R$2,IF($D291="",1/0,FIND(_xlfn.CONCAT($D290,$D291),Producer!$R$2)+10),5)),"")</f>
        <v/>
      </c>
      <c r="E292" s="146" t="str">
        <f t="shared" si="113"/>
        <v/>
      </c>
      <c r="F292" s="146"/>
      <c r="G292" s="147" t="str">
        <f>_xlfn.IFNA(VALUE(INDEX(Producer!$F:$F,MATCH($D292,Producer!$A:$A,0)))*100,"")</f>
        <v/>
      </c>
      <c r="H292" s="216" t="str">
        <f>_xlfn.IFNA(IFERROR(DATEVALUE(INDEX(Producer!$M:$M,MATCH($D292,Producer!$A:$A,0))),(INDEX(Producer!$M:$M,MATCH($D292,Producer!$A:$A,0)))),"")</f>
        <v/>
      </c>
      <c r="I292" s="217" t="str">
        <f>_xlfn.IFNA(VALUE(INDEX(Producer!$B:$B,MATCH($D292,Producer!$A:$A,0)))*12,"")</f>
        <v/>
      </c>
      <c r="J292" s="146" t="str">
        <f>_xlfn.IFNA(IF(C292="Residential",IF(VALUE(INDEX(Producer!$B:$B,MATCH($D292,Producer!$A:$A,0)))&lt;5,Constants!$C$10,""),IF(VALUE(INDEX(Producer!$B:$B,MATCH($D292,Producer!$A:$A,0)))&lt;5,Constants!$C$11,"")),"")</f>
        <v/>
      </c>
      <c r="K292" s="216" t="str">
        <f>_xlfn.IFNA(IF(($I292)&lt;60,DATE(YEAR(H292)+(5-VALUE(INDEX(Producer!$B:$B,MATCH($D292,Producer!$A:$A,0)))),MONTH(H292),DAY(H292)),""),"")</f>
        <v/>
      </c>
      <c r="L292" s="153" t="str">
        <f t="shared" si="114"/>
        <v/>
      </c>
      <c r="M292" s="146"/>
      <c r="N292" s="148"/>
      <c r="O292" s="148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  <c r="AB292" s="146"/>
      <c r="AC292" s="146"/>
      <c r="AD292" s="146"/>
      <c r="AE292" s="146"/>
      <c r="AF292" s="146"/>
      <c r="AG292" s="146"/>
      <c r="AH292" s="146"/>
      <c r="AI292" s="146"/>
      <c r="AJ292" s="146"/>
      <c r="AK292" s="146" t="str">
        <f>IF(D292="","",IF(C292="Residential",Constants!$B$10,Constants!$B$11))</f>
        <v/>
      </c>
      <c r="AL292" s="146" t="str">
        <f t="shared" si="115"/>
        <v/>
      </c>
      <c r="AM292" s="206" t="str">
        <f t="shared" si="116"/>
        <v/>
      </c>
      <c r="AN292" s="146" t="str">
        <f t="shared" si="117"/>
        <v/>
      </c>
      <c r="AO292" s="149" t="str">
        <f t="shared" si="118"/>
        <v/>
      </c>
      <c r="AP292" s="150" t="str">
        <f t="shared" si="119"/>
        <v/>
      </c>
      <c r="AQ292" s="146" t="str">
        <f>IFERROR(_xlfn.IFNA(IF($BA292="No",0,IF(INDEX(Constants!B:B,MATCH(($I292/12),Constants!$A:$A,0))=0,0,INDEX(Constants!B:B,MATCH(($I292/12),Constants!$A:$A,0)))),0),"")</f>
        <v/>
      </c>
      <c r="AR292" s="146" t="str">
        <f>IFERROR(_xlfn.IFNA(IF($BA292="No",0,IF(INDEX(Constants!C:C,MATCH(($I292/12),Constants!$A:$A,0))=0,0,INDEX(Constants!C:C,MATCH(($I292/12),Constants!$A:$A,0)))),0),"")</f>
        <v/>
      </c>
      <c r="AS292" s="146" t="str">
        <f>IFERROR(_xlfn.IFNA(IF($BA292="No",0,IF(INDEX(Constants!D:D,MATCH(($I292/12),Constants!$A:$A,0))=0,0,INDEX(Constants!D:D,MATCH(($I292/12),Constants!$A:$A,0)))),0),"")</f>
        <v/>
      </c>
      <c r="AT292" s="146" t="str">
        <f>IFERROR(_xlfn.IFNA(IF($BA292="No",0,IF(INDEX(Constants!E:E,MATCH(($I292/12),Constants!$A:$A,0))=0,0,INDEX(Constants!E:E,MATCH(($I292/12),Constants!$A:$A,0)))),0),"")</f>
        <v/>
      </c>
      <c r="AU292" s="146" t="str">
        <f>IFERROR(_xlfn.IFNA(IF($BA292="No",0,IF(INDEX(Constants!F:F,MATCH(($I292/12),Constants!$A:$A,0))=0,0,INDEX(Constants!F:F,MATCH(($I292/12),Constants!$A:$A,0)))),0),"")</f>
        <v/>
      </c>
      <c r="AV292" s="146" t="str">
        <f>IFERROR(_xlfn.IFNA(IF($BA292="No",0,IF(INDEX(Constants!G:G,MATCH(($I292/12),Constants!$A:$A,0))=0,0,INDEX(Constants!G:G,MATCH(($I292/12),Constants!$A:$A,0)))),0),"")</f>
        <v/>
      </c>
      <c r="AW292" s="146" t="str">
        <f>IFERROR(_xlfn.IFNA(IF($BA292="No",0,IF(INDEX(Constants!H:H,MATCH(($I292/12),Constants!$A:$A,0))=0,0,INDEX(Constants!H:H,MATCH(($I292/12),Constants!$A:$A,0)))),0),"")</f>
        <v/>
      </c>
      <c r="AX292" s="146" t="str">
        <f>IFERROR(_xlfn.IFNA(IF($BA292="No",0,IF(INDEX(Constants!I:I,MATCH(($I292/12),Constants!$A:$A,0))=0,0,INDEX(Constants!I:I,MATCH(($I292/12),Constants!$A:$A,0)))),0),"")</f>
        <v/>
      </c>
      <c r="AY292" s="146" t="str">
        <f>IFERROR(_xlfn.IFNA(IF($BA292="No",0,IF(INDEX(Constants!J:J,MATCH(($I292/12),Constants!$A:$A,0))=0,0,INDEX(Constants!J:J,MATCH(($I292/12),Constants!$A:$A,0)))),0),"")</f>
        <v/>
      </c>
      <c r="AZ292" s="146" t="str">
        <f>IFERROR(_xlfn.IFNA(IF($BA292="No",0,IF(INDEX(Constants!K:K,MATCH(($I292/12),Constants!$A:$A,0))=0,0,INDEX(Constants!K:K,MATCH(($I292/12),Constants!$A:$A,0)))),0),"")</f>
        <v/>
      </c>
      <c r="BA292" s="147" t="str">
        <f>_xlfn.IFNA(INDEX(Producer!$L:$L,MATCH($D292,Producer!$A:$A,0)),"")</f>
        <v/>
      </c>
      <c r="BB292" s="146" t="str">
        <f>IFERROR(IF(AQ292=0,"",IF(($I292/12)=15,_xlfn.CONCAT(Constants!$N$7,TEXT(DATE(YEAR(H292)-(($I292/12)-3),MONTH(H292),DAY(H292)),"dd/mm/yyyy"),", ",Constants!$P$7,TEXT(DATE(YEAR(H292)-(($I292/12)-8),MONTH(H292),DAY(H292)),"dd/mm/yyyy"),", ",Constants!$T$7,TEXT(DATE(YEAR(H292)-(($I292/12)-11),MONTH(H292),DAY(H292)),"dd/mm/yyyy"),", ",Constants!$V$7,TEXT(DATE(YEAR(H292)-(($I292/12)-13),MONTH(H292),DAY(H292)),"dd/mm/yyyy"),", ",Constants!$W$7,TEXT($H292,"dd/mm/yyyy")),IF(($I292/12)=10,_xlfn.CONCAT(Constants!$N$6,TEXT(DATE(YEAR(H292)-(($I292/12)-2),MONTH(H292),DAY(H292)),"dd/mm/yyyy"),", ",Constants!$P$6,TEXT(DATE(YEAR(H292)-(($I292/12)-6),MONTH(H292),DAY(H292)),"dd/mm/yyyy"),", ",Constants!$T$6,TEXT(DATE(YEAR(H292)-(($I292/12)-8),MONTH(H292),DAY(H292)),"dd/mm/yyyy"),", ",Constants!$V$6,TEXT(DATE(YEAR(H292)-(($I292/12)-9),MONTH(H292),DAY(H292)),"dd/mm/yyyy"),", ",Constants!$W$6,TEXT($H292,"dd/mm/yyyy")),IF(($I292/12)=5,_xlfn.CONCAT(Constants!$N$5,TEXT(DATE(YEAR(H292)-(($I292/12)-1),MONTH(H292),DAY(H292)),"dd/mm/yyyy"),", ",Constants!$O$5,TEXT(DATE(YEAR(H292)-(($I292/12)-2),MONTH(H292),DAY(H292)),"dd/mm/yyyy"),", ",Constants!$P$5,TEXT(DATE(YEAR(H292)-(($I292/12)-3),MONTH(H292),DAY(H292)),"dd/mm/yyyy"),", ",Constants!$Q$5,TEXT(DATE(YEAR(H292)-(($I292/12)-4),MONTH(H292),DAY(H292)),"dd/mm/yyyy"),", ",Constants!$R$5,TEXT($H292,"dd/mm/yyyy")),IF(($I292/12)=3,_xlfn.CONCAT(Constants!$N$4,TEXT(DATE(YEAR(H292)-(($I292/12)-1),MONTH(H292),DAY(H292)),"dd/mm/yyyy"),", ",Constants!$O$4,TEXT(DATE(YEAR(H292)-(($I292/12)-2),MONTH(H292),DAY(H292)),"dd/mm/yyyy"),", ",Constants!$P$4,TEXT($H292,"dd/mm/yyyy")),IF(($I292/12)=2,_xlfn.CONCAT(Constants!$N$3,TEXT(DATE(YEAR(H292)-(($I292/12)-1),MONTH(H292),DAY(H292)),"dd/mm/yyyy"),", ",Constants!$O$3,TEXT($H292,"dd/mm/yyyy")),IF(($I292/12)=1,_xlfn.CONCAT(Constants!$N$2,TEXT($H292,"dd/mm/yyyy")),"Update Constants"))))))),"")</f>
        <v/>
      </c>
      <c r="BC292" s="147" t="str">
        <f>_xlfn.IFNA(VALUE(INDEX(Producer!$K:$K,MATCH($D292,Producer!$A:$A,0))),"")</f>
        <v/>
      </c>
      <c r="BD292" s="147" t="str">
        <f>_xlfn.IFNA(INDEX(Producer!$I:$I,MATCH($D292,Producer!$A:$A,0)),"")</f>
        <v/>
      </c>
      <c r="BE292" s="147" t="str">
        <f t="shared" si="120"/>
        <v/>
      </c>
      <c r="BF292" s="147"/>
      <c r="BG292" s="147"/>
      <c r="BH292" s="151" t="str">
        <f>_xlfn.IFNA(INDEX(Constants!$B:$B,MATCH(BC292,Constants!A:A,0)),"")</f>
        <v/>
      </c>
      <c r="BI292" s="147" t="str">
        <f>IF(LEFT(B292,15)="Limited Company",Constants!$D$16,IFERROR(_xlfn.IFNA(IF(C292="Residential",IF(BK292&lt;75,INDEX(Constants!$B:$B,MATCH(VALUE(60)/100,Constants!$A:$A,0)),INDEX(Constants!$B:$B,MATCH(VALUE(BK292)/100,Constants!$A:$A,0))),IF(BK292&lt;60,INDEX(Constants!$C:$C,MATCH(VALUE(60)/100,Constants!$A:$A,0)),INDEX(Constants!$C:$C,MATCH(VALUE(BK292)/100,Constants!$A:$A,0)))),""),""))</f>
        <v/>
      </c>
      <c r="BJ292" s="147" t="str">
        <f t="shared" si="121"/>
        <v/>
      </c>
      <c r="BK292" s="147" t="str">
        <f>_xlfn.IFNA(VALUE(INDEX(Producer!$E:$E,MATCH($D292,Producer!$A:$A,0)))*100,"")</f>
        <v/>
      </c>
      <c r="BL292" s="146" t="str">
        <f>_xlfn.IFNA(IF(IFERROR(FIND("Part &amp; Part",B292),-10)&gt;0,"PP",IF(OR(LEFT(B292,25)="Residential Interest Only",INDEX(Producer!$P:$P,MATCH($D292,Producer!$A:$A,0))="IO",INDEX(Producer!$P:$P,MATCH($D292,Producer!$A:$A,0))="Retirement Interest Only"),"IO",IF($C292="BuyToLet","CI, IO","CI"))),"")</f>
        <v/>
      </c>
      <c r="BM292" s="152" t="str">
        <f>_xlfn.IFNA(IF(BL292="IO",100%,IF(AND(INDEX(Producer!$P:$P,MATCH($D292,Producer!$A:$A,0))="Residential Interest Only Part &amp; Part",BK292=75),80%,IF(C292="BuyToLet",100%,IF(BL292="Interest Only",100%,IF(AND(INDEX(Producer!$P:$P,MATCH($D292,Producer!$A:$A,0))="Residential Interest Only Part &amp; Part",BK292=60),100%,""))))),"")</f>
        <v/>
      </c>
      <c r="BN292" s="218" t="str">
        <f>_xlfn.IFNA(IF(VALUE(INDEX(Producer!$H:$H,MATCH($D292,Producer!$A:$A,0)))=0,"",VALUE(INDEX(Producer!$H:$H,MATCH($D292,Producer!$A:$A,0)))),"")</f>
        <v/>
      </c>
      <c r="BO292" s="153"/>
      <c r="BP292" s="153"/>
      <c r="BQ292" s="219" t="str">
        <f t="shared" si="122"/>
        <v/>
      </c>
      <c r="BR292" s="146"/>
      <c r="BS292" s="146"/>
      <c r="BT292" s="146"/>
      <c r="BU292" s="146"/>
      <c r="BV292" s="219" t="str">
        <f t="shared" si="123"/>
        <v/>
      </c>
      <c r="BW292" s="146"/>
      <c r="BX292" s="146"/>
      <c r="BY292" s="146" t="str">
        <f t="shared" si="124"/>
        <v/>
      </c>
      <c r="BZ292" s="146" t="str">
        <f t="shared" si="125"/>
        <v/>
      </c>
      <c r="CA292" s="146" t="str">
        <f t="shared" si="126"/>
        <v/>
      </c>
      <c r="CB292" s="146" t="str">
        <f t="shared" si="127"/>
        <v/>
      </c>
      <c r="CC292" s="146" t="str">
        <f>_xlfn.IFNA(IF(INDEX(Producer!$P:$P,MATCH($D292,Producer!$A:$A,0))="Help to Buy","Only available","No"),"")</f>
        <v/>
      </c>
      <c r="CD292" s="146" t="str">
        <f>_xlfn.IFNA(IF(INDEX(Producer!$P:$P,MATCH($D292,Producer!$A:$A,0))="Shared Ownership","Only available","No"),"")</f>
        <v/>
      </c>
      <c r="CE292" s="146" t="str">
        <f>_xlfn.IFNA(IF(INDEX(Producer!$P:$P,MATCH($D292,Producer!$A:$A,0))="Right to Buy","Only available","No"),"")</f>
        <v/>
      </c>
      <c r="CF292" s="146" t="str">
        <f t="shared" si="128"/>
        <v/>
      </c>
      <c r="CG292" s="146" t="str">
        <f>_xlfn.IFNA(IF(INDEX(Producer!$P:$P,MATCH($D292,Producer!$A:$A,0))="Retirement Interest Only","Only available","No"),"")</f>
        <v/>
      </c>
      <c r="CH292" s="146" t="str">
        <f t="shared" si="129"/>
        <v/>
      </c>
      <c r="CI292" s="146" t="str">
        <f>_xlfn.IFNA(IF(INDEX(Producer!$P:$P,MATCH($D292,Producer!$A:$A,0))="Intermediary Holiday Let","Only available","No"),"")</f>
        <v/>
      </c>
      <c r="CJ292" s="146" t="str">
        <f t="shared" si="130"/>
        <v/>
      </c>
      <c r="CK292" s="146" t="str">
        <f>_xlfn.IFNA(IF(OR(INDEX(Producer!$P:$P,MATCH($D292,Producer!$A:$A,0))="Intermediary Small HMO",INDEX(Producer!$P:$P,MATCH($D292,Producer!$A:$A,0))="Intermediary Large HMO"),"Only available","No"),"")</f>
        <v/>
      </c>
      <c r="CL292" s="146" t="str">
        <f t="shared" si="131"/>
        <v/>
      </c>
      <c r="CM292" s="146" t="str">
        <f t="shared" si="132"/>
        <v/>
      </c>
      <c r="CN292" s="146" t="str">
        <f t="shared" si="133"/>
        <v/>
      </c>
      <c r="CO292" s="146" t="str">
        <f t="shared" si="134"/>
        <v/>
      </c>
      <c r="CP292" s="146" t="str">
        <f t="shared" si="135"/>
        <v/>
      </c>
      <c r="CQ292" s="146" t="str">
        <f t="shared" si="136"/>
        <v/>
      </c>
      <c r="CR292" s="146" t="str">
        <f t="shared" si="137"/>
        <v/>
      </c>
      <c r="CS292" s="146" t="str">
        <f t="shared" si="138"/>
        <v/>
      </c>
      <c r="CT292" s="146" t="str">
        <f t="shared" si="139"/>
        <v/>
      </c>
      <c r="CU292" s="146"/>
    </row>
    <row r="293" spans="1:99" ht="16.399999999999999" customHeight="1" x14ac:dyDescent="0.35">
      <c r="A293" s="145" t="str">
        <f t="shared" si="112"/>
        <v/>
      </c>
      <c r="B293" s="145" t="str">
        <f>_xlfn.IFNA(_xlfn.CONCAT(INDEX(Producer!$P:$P,MATCH($D293,Producer!$A:$A,0))," ",IF(INDEX(Producer!$N:$N,MATCH($D293,Producer!$A:$A,0))="Yes","Green ",""),IF(AND(INDEX(Producer!$L:$L,MATCH($D293,Producer!$A:$A,0))="No",INDEX(Producer!$C:$C,MATCH($D293,Producer!$A:$A,0))="Fixed"),"Flexit ",""),INDEX(Producer!$B:$B,MATCH($D293,Producer!$A:$A,0))," Year ",INDEX(Producer!$C:$C,MATCH($D293,Producer!$A:$A,0))," ",VALUE(INDEX(Producer!$E:$E,MATCH($D293,Producer!$A:$A,0)))*100,"% LTV",IF(INDEX(Producer!$N:$N,MATCH($D293,Producer!$A:$A,0))="Yes"," (EPC A-C)","")," - ",IF(INDEX(Producer!$D:$D,MATCH($D293,Producer!$A:$A,0))="DLY","Daily","Annual")),"")</f>
        <v/>
      </c>
      <c r="C293" s="146" t="str">
        <f>_xlfn.IFNA(INDEX(Producer!$Q:$Q,MATCH($D293,Producer!$A:$A,0)),"")</f>
        <v/>
      </c>
      <c r="D293" s="146" t="str">
        <f>IFERROR(VALUE(MID(Producer!$R$2,IF($D292="",1/0,FIND(_xlfn.CONCAT($D291,$D292),Producer!$R$2)+10),5)),"")</f>
        <v/>
      </c>
      <c r="E293" s="146" t="str">
        <f t="shared" si="113"/>
        <v/>
      </c>
      <c r="F293" s="146"/>
      <c r="G293" s="147" t="str">
        <f>_xlfn.IFNA(VALUE(INDEX(Producer!$F:$F,MATCH($D293,Producer!$A:$A,0)))*100,"")</f>
        <v/>
      </c>
      <c r="H293" s="216" t="str">
        <f>_xlfn.IFNA(IFERROR(DATEVALUE(INDEX(Producer!$M:$M,MATCH($D293,Producer!$A:$A,0))),(INDEX(Producer!$M:$M,MATCH($D293,Producer!$A:$A,0)))),"")</f>
        <v/>
      </c>
      <c r="I293" s="217" t="str">
        <f>_xlfn.IFNA(VALUE(INDEX(Producer!$B:$B,MATCH($D293,Producer!$A:$A,0)))*12,"")</f>
        <v/>
      </c>
      <c r="J293" s="146" t="str">
        <f>_xlfn.IFNA(IF(C293="Residential",IF(VALUE(INDEX(Producer!$B:$B,MATCH($D293,Producer!$A:$A,0)))&lt;5,Constants!$C$10,""),IF(VALUE(INDEX(Producer!$B:$B,MATCH($D293,Producer!$A:$A,0)))&lt;5,Constants!$C$11,"")),"")</f>
        <v/>
      </c>
      <c r="K293" s="216" t="str">
        <f>_xlfn.IFNA(IF(($I293)&lt;60,DATE(YEAR(H293)+(5-VALUE(INDEX(Producer!$B:$B,MATCH($D293,Producer!$A:$A,0)))),MONTH(H293),DAY(H293)),""),"")</f>
        <v/>
      </c>
      <c r="L293" s="153" t="str">
        <f t="shared" si="114"/>
        <v/>
      </c>
      <c r="M293" s="146"/>
      <c r="N293" s="148"/>
      <c r="O293" s="148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  <c r="AB293" s="146"/>
      <c r="AC293" s="146"/>
      <c r="AD293" s="146"/>
      <c r="AE293" s="146"/>
      <c r="AF293" s="146"/>
      <c r="AG293" s="146"/>
      <c r="AH293" s="146"/>
      <c r="AI293" s="146"/>
      <c r="AJ293" s="146"/>
      <c r="AK293" s="146" t="str">
        <f>IF(D293="","",IF(C293="Residential",Constants!$B$10,Constants!$B$11))</f>
        <v/>
      </c>
      <c r="AL293" s="146" t="str">
        <f t="shared" si="115"/>
        <v/>
      </c>
      <c r="AM293" s="206" t="str">
        <f t="shared" si="116"/>
        <v/>
      </c>
      <c r="AN293" s="146" t="str">
        <f t="shared" si="117"/>
        <v/>
      </c>
      <c r="AO293" s="149" t="str">
        <f t="shared" si="118"/>
        <v/>
      </c>
      <c r="AP293" s="150" t="str">
        <f t="shared" si="119"/>
        <v/>
      </c>
      <c r="AQ293" s="146" t="str">
        <f>IFERROR(_xlfn.IFNA(IF($BA293="No",0,IF(INDEX(Constants!B:B,MATCH(($I293/12),Constants!$A:$A,0))=0,0,INDEX(Constants!B:B,MATCH(($I293/12),Constants!$A:$A,0)))),0),"")</f>
        <v/>
      </c>
      <c r="AR293" s="146" t="str">
        <f>IFERROR(_xlfn.IFNA(IF($BA293="No",0,IF(INDEX(Constants!C:C,MATCH(($I293/12),Constants!$A:$A,0))=0,0,INDEX(Constants!C:C,MATCH(($I293/12),Constants!$A:$A,0)))),0),"")</f>
        <v/>
      </c>
      <c r="AS293" s="146" t="str">
        <f>IFERROR(_xlfn.IFNA(IF($BA293="No",0,IF(INDEX(Constants!D:D,MATCH(($I293/12),Constants!$A:$A,0))=0,0,INDEX(Constants!D:D,MATCH(($I293/12),Constants!$A:$A,0)))),0),"")</f>
        <v/>
      </c>
      <c r="AT293" s="146" t="str">
        <f>IFERROR(_xlfn.IFNA(IF($BA293="No",0,IF(INDEX(Constants!E:E,MATCH(($I293/12),Constants!$A:$A,0))=0,0,INDEX(Constants!E:E,MATCH(($I293/12),Constants!$A:$A,0)))),0),"")</f>
        <v/>
      </c>
      <c r="AU293" s="146" t="str">
        <f>IFERROR(_xlfn.IFNA(IF($BA293="No",0,IF(INDEX(Constants!F:F,MATCH(($I293/12),Constants!$A:$A,0))=0,0,INDEX(Constants!F:F,MATCH(($I293/12),Constants!$A:$A,0)))),0),"")</f>
        <v/>
      </c>
      <c r="AV293" s="146" t="str">
        <f>IFERROR(_xlfn.IFNA(IF($BA293="No",0,IF(INDEX(Constants!G:G,MATCH(($I293/12),Constants!$A:$A,0))=0,0,INDEX(Constants!G:G,MATCH(($I293/12),Constants!$A:$A,0)))),0),"")</f>
        <v/>
      </c>
      <c r="AW293" s="146" t="str">
        <f>IFERROR(_xlfn.IFNA(IF($BA293="No",0,IF(INDEX(Constants!H:H,MATCH(($I293/12),Constants!$A:$A,0))=0,0,INDEX(Constants!H:H,MATCH(($I293/12),Constants!$A:$A,0)))),0),"")</f>
        <v/>
      </c>
      <c r="AX293" s="146" t="str">
        <f>IFERROR(_xlfn.IFNA(IF($BA293="No",0,IF(INDEX(Constants!I:I,MATCH(($I293/12),Constants!$A:$A,0))=0,0,INDEX(Constants!I:I,MATCH(($I293/12),Constants!$A:$A,0)))),0),"")</f>
        <v/>
      </c>
      <c r="AY293" s="146" t="str">
        <f>IFERROR(_xlfn.IFNA(IF($BA293="No",0,IF(INDEX(Constants!J:J,MATCH(($I293/12),Constants!$A:$A,0))=0,0,INDEX(Constants!J:J,MATCH(($I293/12),Constants!$A:$A,0)))),0),"")</f>
        <v/>
      </c>
      <c r="AZ293" s="146" t="str">
        <f>IFERROR(_xlfn.IFNA(IF($BA293="No",0,IF(INDEX(Constants!K:K,MATCH(($I293/12),Constants!$A:$A,0))=0,0,INDEX(Constants!K:K,MATCH(($I293/12),Constants!$A:$A,0)))),0),"")</f>
        <v/>
      </c>
      <c r="BA293" s="147" t="str">
        <f>_xlfn.IFNA(INDEX(Producer!$L:$L,MATCH($D293,Producer!$A:$A,0)),"")</f>
        <v/>
      </c>
      <c r="BB293" s="146" t="str">
        <f>IFERROR(IF(AQ293=0,"",IF(($I293/12)=15,_xlfn.CONCAT(Constants!$N$7,TEXT(DATE(YEAR(H293)-(($I293/12)-3),MONTH(H293),DAY(H293)),"dd/mm/yyyy"),", ",Constants!$P$7,TEXT(DATE(YEAR(H293)-(($I293/12)-8),MONTH(H293),DAY(H293)),"dd/mm/yyyy"),", ",Constants!$T$7,TEXT(DATE(YEAR(H293)-(($I293/12)-11),MONTH(H293),DAY(H293)),"dd/mm/yyyy"),", ",Constants!$V$7,TEXT(DATE(YEAR(H293)-(($I293/12)-13),MONTH(H293),DAY(H293)),"dd/mm/yyyy"),", ",Constants!$W$7,TEXT($H293,"dd/mm/yyyy")),IF(($I293/12)=10,_xlfn.CONCAT(Constants!$N$6,TEXT(DATE(YEAR(H293)-(($I293/12)-2),MONTH(H293),DAY(H293)),"dd/mm/yyyy"),", ",Constants!$P$6,TEXT(DATE(YEAR(H293)-(($I293/12)-6),MONTH(H293),DAY(H293)),"dd/mm/yyyy"),", ",Constants!$T$6,TEXT(DATE(YEAR(H293)-(($I293/12)-8),MONTH(H293),DAY(H293)),"dd/mm/yyyy"),", ",Constants!$V$6,TEXT(DATE(YEAR(H293)-(($I293/12)-9),MONTH(H293),DAY(H293)),"dd/mm/yyyy"),", ",Constants!$W$6,TEXT($H293,"dd/mm/yyyy")),IF(($I293/12)=5,_xlfn.CONCAT(Constants!$N$5,TEXT(DATE(YEAR(H293)-(($I293/12)-1),MONTH(H293),DAY(H293)),"dd/mm/yyyy"),", ",Constants!$O$5,TEXT(DATE(YEAR(H293)-(($I293/12)-2),MONTH(H293),DAY(H293)),"dd/mm/yyyy"),", ",Constants!$P$5,TEXT(DATE(YEAR(H293)-(($I293/12)-3),MONTH(H293),DAY(H293)),"dd/mm/yyyy"),", ",Constants!$Q$5,TEXT(DATE(YEAR(H293)-(($I293/12)-4),MONTH(H293),DAY(H293)),"dd/mm/yyyy"),", ",Constants!$R$5,TEXT($H293,"dd/mm/yyyy")),IF(($I293/12)=3,_xlfn.CONCAT(Constants!$N$4,TEXT(DATE(YEAR(H293)-(($I293/12)-1),MONTH(H293),DAY(H293)),"dd/mm/yyyy"),", ",Constants!$O$4,TEXT(DATE(YEAR(H293)-(($I293/12)-2),MONTH(H293),DAY(H293)),"dd/mm/yyyy"),", ",Constants!$P$4,TEXT($H293,"dd/mm/yyyy")),IF(($I293/12)=2,_xlfn.CONCAT(Constants!$N$3,TEXT(DATE(YEAR(H293)-(($I293/12)-1),MONTH(H293),DAY(H293)),"dd/mm/yyyy"),", ",Constants!$O$3,TEXT($H293,"dd/mm/yyyy")),IF(($I293/12)=1,_xlfn.CONCAT(Constants!$N$2,TEXT($H293,"dd/mm/yyyy")),"Update Constants"))))))),"")</f>
        <v/>
      </c>
      <c r="BC293" s="147" t="str">
        <f>_xlfn.IFNA(VALUE(INDEX(Producer!$K:$K,MATCH($D293,Producer!$A:$A,0))),"")</f>
        <v/>
      </c>
      <c r="BD293" s="147" t="str">
        <f>_xlfn.IFNA(INDEX(Producer!$I:$I,MATCH($D293,Producer!$A:$A,0)),"")</f>
        <v/>
      </c>
      <c r="BE293" s="147" t="str">
        <f t="shared" si="120"/>
        <v/>
      </c>
      <c r="BF293" s="147"/>
      <c r="BG293" s="147"/>
      <c r="BH293" s="151" t="str">
        <f>_xlfn.IFNA(INDEX(Constants!$B:$B,MATCH(BC293,Constants!A:A,0)),"")</f>
        <v/>
      </c>
      <c r="BI293" s="147" t="str">
        <f>IF(LEFT(B293,15)="Limited Company",Constants!$D$16,IFERROR(_xlfn.IFNA(IF(C293="Residential",IF(BK293&lt;75,INDEX(Constants!$B:$B,MATCH(VALUE(60)/100,Constants!$A:$A,0)),INDEX(Constants!$B:$B,MATCH(VALUE(BK293)/100,Constants!$A:$A,0))),IF(BK293&lt;60,INDEX(Constants!$C:$C,MATCH(VALUE(60)/100,Constants!$A:$A,0)),INDEX(Constants!$C:$C,MATCH(VALUE(BK293)/100,Constants!$A:$A,0)))),""),""))</f>
        <v/>
      </c>
      <c r="BJ293" s="147" t="str">
        <f t="shared" si="121"/>
        <v/>
      </c>
      <c r="BK293" s="147" t="str">
        <f>_xlfn.IFNA(VALUE(INDEX(Producer!$E:$E,MATCH($D293,Producer!$A:$A,0)))*100,"")</f>
        <v/>
      </c>
      <c r="BL293" s="146" t="str">
        <f>_xlfn.IFNA(IF(IFERROR(FIND("Part &amp; Part",B293),-10)&gt;0,"PP",IF(OR(LEFT(B293,25)="Residential Interest Only",INDEX(Producer!$P:$P,MATCH($D293,Producer!$A:$A,0))="IO",INDEX(Producer!$P:$P,MATCH($D293,Producer!$A:$A,0))="Retirement Interest Only"),"IO",IF($C293="BuyToLet","CI, IO","CI"))),"")</f>
        <v/>
      </c>
      <c r="BM293" s="152" t="str">
        <f>_xlfn.IFNA(IF(BL293="IO",100%,IF(AND(INDEX(Producer!$P:$P,MATCH($D293,Producer!$A:$A,0))="Residential Interest Only Part &amp; Part",BK293=75),80%,IF(C293="BuyToLet",100%,IF(BL293="Interest Only",100%,IF(AND(INDEX(Producer!$P:$P,MATCH($D293,Producer!$A:$A,0))="Residential Interest Only Part &amp; Part",BK293=60),100%,""))))),"")</f>
        <v/>
      </c>
      <c r="BN293" s="218" t="str">
        <f>_xlfn.IFNA(IF(VALUE(INDEX(Producer!$H:$H,MATCH($D293,Producer!$A:$A,0)))=0,"",VALUE(INDEX(Producer!$H:$H,MATCH($D293,Producer!$A:$A,0)))),"")</f>
        <v/>
      </c>
      <c r="BO293" s="153"/>
      <c r="BP293" s="153"/>
      <c r="BQ293" s="219" t="str">
        <f t="shared" si="122"/>
        <v/>
      </c>
      <c r="BR293" s="146"/>
      <c r="BS293" s="146"/>
      <c r="BT293" s="146"/>
      <c r="BU293" s="146"/>
      <c r="BV293" s="219" t="str">
        <f t="shared" si="123"/>
        <v/>
      </c>
      <c r="BW293" s="146"/>
      <c r="BX293" s="146"/>
      <c r="BY293" s="146" t="str">
        <f t="shared" si="124"/>
        <v/>
      </c>
      <c r="BZ293" s="146" t="str">
        <f t="shared" si="125"/>
        <v/>
      </c>
      <c r="CA293" s="146" t="str">
        <f t="shared" si="126"/>
        <v/>
      </c>
      <c r="CB293" s="146" t="str">
        <f t="shared" si="127"/>
        <v/>
      </c>
      <c r="CC293" s="146" t="str">
        <f>_xlfn.IFNA(IF(INDEX(Producer!$P:$P,MATCH($D293,Producer!$A:$A,0))="Help to Buy","Only available","No"),"")</f>
        <v/>
      </c>
      <c r="CD293" s="146" t="str">
        <f>_xlfn.IFNA(IF(INDEX(Producer!$P:$P,MATCH($D293,Producer!$A:$A,0))="Shared Ownership","Only available","No"),"")</f>
        <v/>
      </c>
      <c r="CE293" s="146" t="str">
        <f>_xlfn.IFNA(IF(INDEX(Producer!$P:$P,MATCH($D293,Producer!$A:$A,0))="Right to Buy","Only available","No"),"")</f>
        <v/>
      </c>
      <c r="CF293" s="146" t="str">
        <f t="shared" si="128"/>
        <v/>
      </c>
      <c r="CG293" s="146" t="str">
        <f>_xlfn.IFNA(IF(INDEX(Producer!$P:$P,MATCH($D293,Producer!$A:$A,0))="Retirement Interest Only","Only available","No"),"")</f>
        <v/>
      </c>
      <c r="CH293" s="146" t="str">
        <f t="shared" si="129"/>
        <v/>
      </c>
      <c r="CI293" s="146" t="str">
        <f>_xlfn.IFNA(IF(INDEX(Producer!$P:$P,MATCH($D293,Producer!$A:$A,0))="Intermediary Holiday Let","Only available","No"),"")</f>
        <v/>
      </c>
      <c r="CJ293" s="146" t="str">
        <f t="shared" si="130"/>
        <v/>
      </c>
      <c r="CK293" s="146" t="str">
        <f>_xlfn.IFNA(IF(OR(INDEX(Producer!$P:$P,MATCH($D293,Producer!$A:$A,0))="Intermediary Small HMO",INDEX(Producer!$P:$P,MATCH($D293,Producer!$A:$A,0))="Intermediary Large HMO"),"Only available","No"),"")</f>
        <v/>
      </c>
      <c r="CL293" s="146" t="str">
        <f t="shared" si="131"/>
        <v/>
      </c>
      <c r="CM293" s="146" t="str">
        <f t="shared" si="132"/>
        <v/>
      </c>
      <c r="CN293" s="146" t="str">
        <f t="shared" si="133"/>
        <v/>
      </c>
      <c r="CO293" s="146" t="str">
        <f t="shared" si="134"/>
        <v/>
      </c>
      <c r="CP293" s="146" t="str">
        <f t="shared" si="135"/>
        <v/>
      </c>
      <c r="CQ293" s="146" t="str">
        <f t="shared" si="136"/>
        <v/>
      </c>
      <c r="CR293" s="146" t="str">
        <f t="shared" si="137"/>
        <v/>
      </c>
      <c r="CS293" s="146" t="str">
        <f t="shared" si="138"/>
        <v/>
      </c>
      <c r="CT293" s="146" t="str">
        <f t="shared" si="139"/>
        <v/>
      </c>
      <c r="CU293" s="146"/>
    </row>
    <row r="294" spans="1:99" ht="16.399999999999999" customHeight="1" x14ac:dyDescent="0.35">
      <c r="A294" s="145" t="str">
        <f t="shared" si="112"/>
        <v/>
      </c>
      <c r="B294" s="145" t="str">
        <f>_xlfn.IFNA(_xlfn.CONCAT(INDEX(Producer!$P:$P,MATCH($D294,Producer!$A:$A,0))," ",IF(INDEX(Producer!$N:$N,MATCH($D294,Producer!$A:$A,0))="Yes","Green ",""),IF(AND(INDEX(Producer!$L:$L,MATCH($D294,Producer!$A:$A,0))="No",INDEX(Producer!$C:$C,MATCH($D294,Producer!$A:$A,0))="Fixed"),"Flexit ",""),INDEX(Producer!$B:$B,MATCH($D294,Producer!$A:$A,0))," Year ",INDEX(Producer!$C:$C,MATCH($D294,Producer!$A:$A,0))," ",VALUE(INDEX(Producer!$E:$E,MATCH($D294,Producer!$A:$A,0)))*100,"% LTV",IF(INDEX(Producer!$N:$N,MATCH($D294,Producer!$A:$A,0))="Yes"," (EPC A-C)","")," - ",IF(INDEX(Producer!$D:$D,MATCH($D294,Producer!$A:$A,0))="DLY","Daily","Annual")),"")</f>
        <v/>
      </c>
      <c r="C294" s="146" t="str">
        <f>_xlfn.IFNA(INDEX(Producer!$Q:$Q,MATCH($D294,Producer!$A:$A,0)),"")</f>
        <v/>
      </c>
      <c r="D294" s="146" t="str">
        <f>IFERROR(VALUE(MID(Producer!$R$2,IF($D293="",1/0,FIND(_xlfn.CONCAT($D292,$D293),Producer!$R$2)+10),5)),"")</f>
        <v/>
      </c>
      <c r="E294" s="146" t="str">
        <f t="shared" si="113"/>
        <v/>
      </c>
      <c r="F294" s="146"/>
      <c r="G294" s="147" t="str">
        <f>_xlfn.IFNA(VALUE(INDEX(Producer!$F:$F,MATCH($D294,Producer!$A:$A,0)))*100,"")</f>
        <v/>
      </c>
      <c r="H294" s="216" t="str">
        <f>_xlfn.IFNA(IFERROR(DATEVALUE(INDEX(Producer!$M:$M,MATCH($D294,Producer!$A:$A,0))),(INDEX(Producer!$M:$M,MATCH($D294,Producer!$A:$A,0)))),"")</f>
        <v/>
      </c>
      <c r="I294" s="217" t="str">
        <f>_xlfn.IFNA(VALUE(INDEX(Producer!$B:$B,MATCH($D294,Producer!$A:$A,0)))*12,"")</f>
        <v/>
      </c>
      <c r="J294" s="146" t="str">
        <f>_xlfn.IFNA(IF(C294="Residential",IF(VALUE(INDEX(Producer!$B:$B,MATCH($D294,Producer!$A:$A,0)))&lt;5,Constants!$C$10,""),IF(VALUE(INDEX(Producer!$B:$B,MATCH($D294,Producer!$A:$A,0)))&lt;5,Constants!$C$11,"")),"")</f>
        <v/>
      </c>
      <c r="K294" s="216" t="str">
        <f>_xlfn.IFNA(IF(($I294)&lt;60,DATE(YEAR(H294)+(5-VALUE(INDEX(Producer!$B:$B,MATCH($D294,Producer!$A:$A,0)))),MONTH(H294),DAY(H294)),""),"")</f>
        <v/>
      </c>
      <c r="L294" s="153" t="str">
        <f t="shared" si="114"/>
        <v/>
      </c>
      <c r="M294" s="146"/>
      <c r="N294" s="148"/>
      <c r="O294" s="148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  <c r="AA294" s="146"/>
      <c r="AB294" s="146"/>
      <c r="AC294" s="146"/>
      <c r="AD294" s="146"/>
      <c r="AE294" s="146"/>
      <c r="AF294" s="146"/>
      <c r="AG294" s="146"/>
      <c r="AH294" s="146"/>
      <c r="AI294" s="146"/>
      <c r="AJ294" s="146"/>
      <c r="AK294" s="146" t="str">
        <f>IF(D294="","",IF(C294="Residential",Constants!$B$10,Constants!$B$11))</f>
        <v/>
      </c>
      <c r="AL294" s="146" t="str">
        <f t="shared" si="115"/>
        <v/>
      </c>
      <c r="AM294" s="206" t="str">
        <f t="shared" si="116"/>
        <v/>
      </c>
      <c r="AN294" s="146" t="str">
        <f t="shared" si="117"/>
        <v/>
      </c>
      <c r="AO294" s="149" t="str">
        <f t="shared" si="118"/>
        <v/>
      </c>
      <c r="AP294" s="150" t="str">
        <f t="shared" si="119"/>
        <v/>
      </c>
      <c r="AQ294" s="146" t="str">
        <f>IFERROR(_xlfn.IFNA(IF($BA294="No",0,IF(INDEX(Constants!B:B,MATCH(($I294/12),Constants!$A:$A,0))=0,0,INDEX(Constants!B:B,MATCH(($I294/12),Constants!$A:$A,0)))),0),"")</f>
        <v/>
      </c>
      <c r="AR294" s="146" t="str">
        <f>IFERROR(_xlfn.IFNA(IF($BA294="No",0,IF(INDEX(Constants!C:C,MATCH(($I294/12),Constants!$A:$A,0))=0,0,INDEX(Constants!C:C,MATCH(($I294/12),Constants!$A:$A,0)))),0),"")</f>
        <v/>
      </c>
      <c r="AS294" s="146" t="str">
        <f>IFERROR(_xlfn.IFNA(IF($BA294="No",0,IF(INDEX(Constants!D:D,MATCH(($I294/12),Constants!$A:$A,0))=0,0,INDEX(Constants!D:D,MATCH(($I294/12),Constants!$A:$A,0)))),0),"")</f>
        <v/>
      </c>
      <c r="AT294" s="146" t="str">
        <f>IFERROR(_xlfn.IFNA(IF($BA294="No",0,IF(INDEX(Constants!E:E,MATCH(($I294/12),Constants!$A:$A,0))=0,0,INDEX(Constants!E:E,MATCH(($I294/12),Constants!$A:$A,0)))),0),"")</f>
        <v/>
      </c>
      <c r="AU294" s="146" t="str">
        <f>IFERROR(_xlfn.IFNA(IF($BA294="No",0,IF(INDEX(Constants!F:F,MATCH(($I294/12),Constants!$A:$A,0))=0,0,INDEX(Constants!F:F,MATCH(($I294/12),Constants!$A:$A,0)))),0),"")</f>
        <v/>
      </c>
      <c r="AV294" s="146" t="str">
        <f>IFERROR(_xlfn.IFNA(IF($BA294="No",0,IF(INDEX(Constants!G:G,MATCH(($I294/12),Constants!$A:$A,0))=0,0,INDEX(Constants!G:G,MATCH(($I294/12),Constants!$A:$A,0)))),0),"")</f>
        <v/>
      </c>
      <c r="AW294" s="146" t="str">
        <f>IFERROR(_xlfn.IFNA(IF($BA294="No",0,IF(INDEX(Constants!H:H,MATCH(($I294/12),Constants!$A:$A,0))=0,0,INDEX(Constants!H:H,MATCH(($I294/12),Constants!$A:$A,0)))),0),"")</f>
        <v/>
      </c>
      <c r="AX294" s="146" t="str">
        <f>IFERROR(_xlfn.IFNA(IF($BA294="No",0,IF(INDEX(Constants!I:I,MATCH(($I294/12),Constants!$A:$A,0))=0,0,INDEX(Constants!I:I,MATCH(($I294/12),Constants!$A:$A,0)))),0),"")</f>
        <v/>
      </c>
      <c r="AY294" s="146" t="str">
        <f>IFERROR(_xlfn.IFNA(IF($BA294="No",0,IF(INDEX(Constants!J:J,MATCH(($I294/12),Constants!$A:$A,0))=0,0,INDEX(Constants!J:J,MATCH(($I294/12),Constants!$A:$A,0)))),0),"")</f>
        <v/>
      </c>
      <c r="AZ294" s="146" t="str">
        <f>IFERROR(_xlfn.IFNA(IF($BA294="No",0,IF(INDEX(Constants!K:K,MATCH(($I294/12),Constants!$A:$A,0))=0,0,INDEX(Constants!K:K,MATCH(($I294/12),Constants!$A:$A,0)))),0),"")</f>
        <v/>
      </c>
      <c r="BA294" s="147" t="str">
        <f>_xlfn.IFNA(INDEX(Producer!$L:$L,MATCH($D294,Producer!$A:$A,0)),"")</f>
        <v/>
      </c>
      <c r="BB294" s="146" t="str">
        <f>IFERROR(IF(AQ294=0,"",IF(($I294/12)=15,_xlfn.CONCAT(Constants!$N$7,TEXT(DATE(YEAR(H294)-(($I294/12)-3),MONTH(H294),DAY(H294)),"dd/mm/yyyy"),", ",Constants!$P$7,TEXT(DATE(YEAR(H294)-(($I294/12)-8),MONTH(H294),DAY(H294)),"dd/mm/yyyy"),", ",Constants!$T$7,TEXT(DATE(YEAR(H294)-(($I294/12)-11),MONTH(H294),DAY(H294)),"dd/mm/yyyy"),", ",Constants!$V$7,TEXT(DATE(YEAR(H294)-(($I294/12)-13),MONTH(H294),DAY(H294)),"dd/mm/yyyy"),", ",Constants!$W$7,TEXT($H294,"dd/mm/yyyy")),IF(($I294/12)=10,_xlfn.CONCAT(Constants!$N$6,TEXT(DATE(YEAR(H294)-(($I294/12)-2),MONTH(H294),DAY(H294)),"dd/mm/yyyy"),", ",Constants!$P$6,TEXT(DATE(YEAR(H294)-(($I294/12)-6),MONTH(H294),DAY(H294)),"dd/mm/yyyy"),", ",Constants!$T$6,TEXT(DATE(YEAR(H294)-(($I294/12)-8),MONTH(H294),DAY(H294)),"dd/mm/yyyy"),", ",Constants!$V$6,TEXT(DATE(YEAR(H294)-(($I294/12)-9),MONTH(H294),DAY(H294)),"dd/mm/yyyy"),", ",Constants!$W$6,TEXT($H294,"dd/mm/yyyy")),IF(($I294/12)=5,_xlfn.CONCAT(Constants!$N$5,TEXT(DATE(YEAR(H294)-(($I294/12)-1),MONTH(H294),DAY(H294)),"dd/mm/yyyy"),", ",Constants!$O$5,TEXT(DATE(YEAR(H294)-(($I294/12)-2),MONTH(H294),DAY(H294)),"dd/mm/yyyy"),", ",Constants!$P$5,TEXT(DATE(YEAR(H294)-(($I294/12)-3),MONTH(H294),DAY(H294)),"dd/mm/yyyy"),", ",Constants!$Q$5,TEXT(DATE(YEAR(H294)-(($I294/12)-4),MONTH(H294),DAY(H294)),"dd/mm/yyyy"),", ",Constants!$R$5,TEXT($H294,"dd/mm/yyyy")),IF(($I294/12)=3,_xlfn.CONCAT(Constants!$N$4,TEXT(DATE(YEAR(H294)-(($I294/12)-1),MONTH(H294),DAY(H294)),"dd/mm/yyyy"),", ",Constants!$O$4,TEXT(DATE(YEAR(H294)-(($I294/12)-2),MONTH(H294),DAY(H294)),"dd/mm/yyyy"),", ",Constants!$P$4,TEXT($H294,"dd/mm/yyyy")),IF(($I294/12)=2,_xlfn.CONCAT(Constants!$N$3,TEXT(DATE(YEAR(H294)-(($I294/12)-1),MONTH(H294),DAY(H294)),"dd/mm/yyyy"),", ",Constants!$O$3,TEXT($H294,"dd/mm/yyyy")),IF(($I294/12)=1,_xlfn.CONCAT(Constants!$N$2,TEXT($H294,"dd/mm/yyyy")),"Update Constants"))))))),"")</f>
        <v/>
      </c>
      <c r="BC294" s="147" t="str">
        <f>_xlfn.IFNA(VALUE(INDEX(Producer!$K:$K,MATCH($D294,Producer!$A:$A,0))),"")</f>
        <v/>
      </c>
      <c r="BD294" s="147" t="str">
        <f>_xlfn.IFNA(INDEX(Producer!$I:$I,MATCH($D294,Producer!$A:$A,0)),"")</f>
        <v/>
      </c>
      <c r="BE294" s="147" t="str">
        <f t="shared" si="120"/>
        <v/>
      </c>
      <c r="BF294" s="147"/>
      <c r="BG294" s="147"/>
      <c r="BH294" s="151" t="str">
        <f>_xlfn.IFNA(INDEX(Constants!$B:$B,MATCH(BC294,Constants!A:A,0)),"")</f>
        <v/>
      </c>
      <c r="BI294" s="147" t="str">
        <f>IF(LEFT(B294,15)="Limited Company",Constants!$D$16,IFERROR(_xlfn.IFNA(IF(C294="Residential",IF(BK294&lt;75,INDEX(Constants!$B:$B,MATCH(VALUE(60)/100,Constants!$A:$A,0)),INDEX(Constants!$B:$B,MATCH(VALUE(BK294)/100,Constants!$A:$A,0))),IF(BK294&lt;60,INDEX(Constants!$C:$C,MATCH(VALUE(60)/100,Constants!$A:$A,0)),INDEX(Constants!$C:$C,MATCH(VALUE(BK294)/100,Constants!$A:$A,0)))),""),""))</f>
        <v/>
      </c>
      <c r="BJ294" s="147" t="str">
        <f t="shared" si="121"/>
        <v/>
      </c>
      <c r="BK294" s="147" t="str">
        <f>_xlfn.IFNA(VALUE(INDEX(Producer!$E:$E,MATCH($D294,Producer!$A:$A,0)))*100,"")</f>
        <v/>
      </c>
      <c r="BL294" s="146" t="str">
        <f>_xlfn.IFNA(IF(IFERROR(FIND("Part &amp; Part",B294),-10)&gt;0,"PP",IF(OR(LEFT(B294,25)="Residential Interest Only",INDEX(Producer!$P:$P,MATCH($D294,Producer!$A:$A,0))="IO",INDEX(Producer!$P:$P,MATCH($D294,Producer!$A:$A,0))="Retirement Interest Only"),"IO",IF($C294="BuyToLet","CI, IO","CI"))),"")</f>
        <v/>
      </c>
      <c r="BM294" s="152" t="str">
        <f>_xlfn.IFNA(IF(BL294="IO",100%,IF(AND(INDEX(Producer!$P:$P,MATCH($D294,Producer!$A:$A,0))="Residential Interest Only Part &amp; Part",BK294=75),80%,IF(C294="BuyToLet",100%,IF(BL294="Interest Only",100%,IF(AND(INDEX(Producer!$P:$P,MATCH($D294,Producer!$A:$A,0))="Residential Interest Only Part &amp; Part",BK294=60),100%,""))))),"")</f>
        <v/>
      </c>
      <c r="BN294" s="218" t="str">
        <f>_xlfn.IFNA(IF(VALUE(INDEX(Producer!$H:$H,MATCH($D294,Producer!$A:$A,0)))=0,"",VALUE(INDEX(Producer!$H:$H,MATCH($D294,Producer!$A:$A,0)))),"")</f>
        <v/>
      </c>
      <c r="BO294" s="153"/>
      <c r="BP294" s="153"/>
      <c r="BQ294" s="219" t="str">
        <f t="shared" si="122"/>
        <v/>
      </c>
      <c r="BR294" s="146"/>
      <c r="BS294" s="146"/>
      <c r="BT294" s="146"/>
      <c r="BU294" s="146"/>
      <c r="BV294" s="219" t="str">
        <f t="shared" si="123"/>
        <v/>
      </c>
      <c r="BW294" s="146"/>
      <c r="BX294" s="146"/>
      <c r="BY294" s="146" t="str">
        <f t="shared" si="124"/>
        <v/>
      </c>
      <c r="BZ294" s="146" t="str">
        <f t="shared" si="125"/>
        <v/>
      </c>
      <c r="CA294" s="146" t="str">
        <f t="shared" si="126"/>
        <v/>
      </c>
      <c r="CB294" s="146" t="str">
        <f t="shared" si="127"/>
        <v/>
      </c>
      <c r="CC294" s="146" t="str">
        <f>_xlfn.IFNA(IF(INDEX(Producer!$P:$P,MATCH($D294,Producer!$A:$A,0))="Help to Buy","Only available","No"),"")</f>
        <v/>
      </c>
      <c r="CD294" s="146" t="str">
        <f>_xlfn.IFNA(IF(INDEX(Producer!$P:$P,MATCH($D294,Producer!$A:$A,0))="Shared Ownership","Only available","No"),"")</f>
        <v/>
      </c>
      <c r="CE294" s="146" t="str">
        <f>_xlfn.IFNA(IF(INDEX(Producer!$P:$P,MATCH($D294,Producer!$A:$A,0))="Right to Buy","Only available","No"),"")</f>
        <v/>
      </c>
      <c r="CF294" s="146" t="str">
        <f t="shared" si="128"/>
        <v/>
      </c>
      <c r="CG294" s="146" t="str">
        <f>_xlfn.IFNA(IF(INDEX(Producer!$P:$P,MATCH($D294,Producer!$A:$A,0))="Retirement Interest Only","Only available","No"),"")</f>
        <v/>
      </c>
      <c r="CH294" s="146" t="str">
        <f t="shared" si="129"/>
        <v/>
      </c>
      <c r="CI294" s="146" t="str">
        <f>_xlfn.IFNA(IF(INDEX(Producer!$P:$P,MATCH($D294,Producer!$A:$A,0))="Intermediary Holiday Let","Only available","No"),"")</f>
        <v/>
      </c>
      <c r="CJ294" s="146" t="str">
        <f t="shared" si="130"/>
        <v/>
      </c>
      <c r="CK294" s="146" t="str">
        <f>_xlfn.IFNA(IF(OR(INDEX(Producer!$P:$P,MATCH($D294,Producer!$A:$A,0))="Intermediary Small HMO",INDEX(Producer!$P:$P,MATCH($D294,Producer!$A:$A,0))="Intermediary Large HMO"),"Only available","No"),"")</f>
        <v/>
      </c>
      <c r="CL294" s="146" t="str">
        <f t="shared" si="131"/>
        <v/>
      </c>
      <c r="CM294" s="146" t="str">
        <f t="shared" si="132"/>
        <v/>
      </c>
      <c r="CN294" s="146" t="str">
        <f t="shared" si="133"/>
        <v/>
      </c>
      <c r="CO294" s="146" t="str">
        <f t="shared" si="134"/>
        <v/>
      </c>
      <c r="CP294" s="146" t="str">
        <f t="shared" si="135"/>
        <v/>
      </c>
      <c r="CQ294" s="146" t="str">
        <f t="shared" si="136"/>
        <v/>
      </c>
      <c r="CR294" s="146" t="str">
        <f t="shared" si="137"/>
        <v/>
      </c>
      <c r="CS294" s="146" t="str">
        <f t="shared" si="138"/>
        <v/>
      </c>
      <c r="CT294" s="146" t="str">
        <f t="shared" si="139"/>
        <v/>
      </c>
      <c r="CU294" s="146"/>
    </row>
    <row r="295" spans="1:99" ht="16.399999999999999" customHeight="1" x14ac:dyDescent="0.35">
      <c r="A295" s="145" t="str">
        <f t="shared" si="112"/>
        <v/>
      </c>
      <c r="B295" s="145" t="str">
        <f>_xlfn.IFNA(_xlfn.CONCAT(INDEX(Producer!$P:$P,MATCH($D295,Producer!$A:$A,0))," ",IF(INDEX(Producer!$N:$N,MATCH($D295,Producer!$A:$A,0))="Yes","Green ",""),IF(AND(INDEX(Producer!$L:$L,MATCH($D295,Producer!$A:$A,0))="No",INDEX(Producer!$C:$C,MATCH($D295,Producer!$A:$A,0))="Fixed"),"Flexit ",""),INDEX(Producer!$B:$B,MATCH($D295,Producer!$A:$A,0))," Year ",INDEX(Producer!$C:$C,MATCH($D295,Producer!$A:$A,0))," ",VALUE(INDEX(Producer!$E:$E,MATCH($D295,Producer!$A:$A,0)))*100,"% LTV",IF(INDEX(Producer!$N:$N,MATCH($D295,Producer!$A:$A,0))="Yes"," (EPC A-C)","")," - ",IF(INDEX(Producer!$D:$D,MATCH($D295,Producer!$A:$A,0))="DLY","Daily","Annual")),"")</f>
        <v/>
      </c>
      <c r="C295" s="146" t="str">
        <f>_xlfn.IFNA(INDEX(Producer!$Q:$Q,MATCH($D295,Producer!$A:$A,0)),"")</f>
        <v/>
      </c>
      <c r="D295" s="146" t="str">
        <f>IFERROR(VALUE(MID(Producer!$R$2,IF($D294="",1/0,FIND(_xlfn.CONCAT($D293,$D294),Producer!$R$2)+10),5)),"")</f>
        <v/>
      </c>
      <c r="E295" s="146" t="str">
        <f t="shared" si="113"/>
        <v/>
      </c>
      <c r="F295" s="146"/>
      <c r="G295" s="147" t="str">
        <f>_xlfn.IFNA(VALUE(INDEX(Producer!$F:$F,MATCH($D295,Producer!$A:$A,0)))*100,"")</f>
        <v/>
      </c>
      <c r="H295" s="216" t="str">
        <f>_xlfn.IFNA(IFERROR(DATEVALUE(INDEX(Producer!$M:$M,MATCH($D295,Producer!$A:$A,0))),(INDEX(Producer!$M:$M,MATCH($D295,Producer!$A:$A,0)))),"")</f>
        <v/>
      </c>
      <c r="I295" s="217" t="str">
        <f>_xlfn.IFNA(VALUE(INDEX(Producer!$B:$B,MATCH($D295,Producer!$A:$A,0)))*12,"")</f>
        <v/>
      </c>
      <c r="J295" s="146" t="str">
        <f>_xlfn.IFNA(IF(C295="Residential",IF(VALUE(INDEX(Producer!$B:$B,MATCH($D295,Producer!$A:$A,0)))&lt;5,Constants!$C$10,""),IF(VALUE(INDEX(Producer!$B:$B,MATCH($D295,Producer!$A:$A,0)))&lt;5,Constants!$C$11,"")),"")</f>
        <v/>
      </c>
      <c r="K295" s="216" t="str">
        <f>_xlfn.IFNA(IF(($I295)&lt;60,DATE(YEAR(H295)+(5-VALUE(INDEX(Producer!$B:$B,MATCH($D295,Producer!$A:$A,0)))),MONTH(H295),DAY(H295)),""),"")</f>
        <v/>
      </c>
      <c r="L295" s="153" t="str">
        <f t="shared" si="114"/>
        <v/>
      </c>
      <c r="M295" s="146"/>
      <c r="N295" s="148"/>
      <c r="O295" s="148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  <c r="AA295" s="146"/>
      <c r="AB295" s="146"/>
      <c r="AC295" s="146"/>
      <c r="AD295" s="146"/>
      <c r="AE295" s="146"/>
      <c r="AF295" s="146"/>
      <c r="AG295" s="146"/>
      <c r="AH295" s="146"/>
      <c r="AI295" s="146"/>
      <c r="AJ295" s="146"/>
      <c r="AK295" s="146" t="str">
        <f>IF(D295="","",IF(C295="Residential",Constants!$B$10,Constants!$B$11))</f>
        <v/>
      </c>
      <c r="AL295" s="146" t="str">
        <f t="shared" si="115"/>
        <v/>
      </c>
      <c r="AM295" s="206" t="str">
        <f t="shared" si="116"/>
        <v/>
      </c>
      <c r="AN295" s="146" t="str">
        <f t="shared" si="117"/>
        <v/>
      </c>
      <c r="AO295" s="149" t="str">
        <f t="shared" si="118"/>
        <v/>
      </c>
      <c r="AP295" s="150" t="str">
        <f t="shared" si="119"/>
        <v/>
      </c>
      <c r="AQ295" s="146" t="str">
        <f>IFERROR(_xlfn.IFNA(IF($BA295="No",0,IF(INDEX(Constants!B:B,MATCH(($I295/12),Constants!$A:$A,0))=0,0,INDEX(Constants!B:B,MATCH(($I295/12),Constants!$A:$A,0)))),0),"")</f>
        <v/>
      </c>
      <c r="AR295" s="146" t="str">
        <f>IFERROR(_xlfn.IFNA(IF($BA295="No",0,IF(INDEX(Constants!C:C,MATCH(($I295/12),Constants!$A:$A,0))=0,0,INDEX(Constants!C:C,MATCH(($I295/12),Constants!$A:$A,0)))),0),"")</f>
        <v/>
      </c>
      <c r="AS295" s="146" t="str">
        <f>IFERROR(_xlfn.IFNA(IF($BA295="No",0,IF(INDEX(Constants!D:D,MATCH(($I295/12),Constants!$A:$A,0))=0,0,INDEX(Constants!D:D,MATCH(($I295/12),Constants!$A:$A,0)))),0),"")</f>
        <v/>
      </c>
      <c r="AT295" s="146" t="str">
        <f>IFERROR(_xlfn.IFNA(IF($BA295="No",0,IF(INDEX(Constants!E:E,MATCH(($I295/12),Constants!$A:$A,0))=0,0,INDEX(Constants!E:E,MATCH(($I295/12),Constants!$A:$A,0)))),0),"")</f>
        <v/>
      </c>
      <c r="AU295" s="146" t="str">
        <f>IFERROR(_xlfn.IFNA(IF($BA295="No",0,IF(INDEX(Constants!F:F,MATCH(($I295/12),Constants!$A:$A,0))=0,0,INDEX(Constants!F:F,MATCH(($I295/12),Constants!$A:$A,0)))),0),"")</f>
        <v/>
      </c>
      <c r="AV295" s="146" t="str">
        <f>IFERROR(_xlfn.IFNA(IF($BA295="No",0,IF(INDEX(Constants!G:G,MATCH(($I295/12),Constants!$A:$A,0))=0,0,INDEX(Constants!G:G,MATCH(($I295/12),Constants!$A:$A,0)))),0),"")</f>
        <v/>
      </c>
      <c r="AW295" s="146" t="str">
        <f>IFERROR(_xlfn.IFNA(IF($BA295="No",0,IF(INDEX(Constants!H:H,MATCH(($I295/12),Constants!$A:$A,0))=0,0,INDEX(Constants!H:H,MATCH(($I295/12),Constants!$A:$A,0)))),0),"")</f>
        <v/>
      </c>
      <c r="AX295" s="146" t="str">
        <f>IFERROR(_xlfn.IFNA(IF($BA295="No",0,IF(INDEX(Constants!I:I,MATCH(($I295/12),Constants!$A:$A,0))=0,0,INDEX(Constants!I:I,MATCH(($I295/12),Constants!$A:$A,0)))),0),"")</f>
        <v/>
      </c>
      <c r="AY295" s="146" t="str">
        <f>IFERROR(_xlfn.IFNA(IF($BA295="No",0,IF(INDEX(Constants!J:J,MATCH(($I295/12),Constants!$A:$A,0))=0,0,INDEX(Constants!J:J,MATCH(($I295/12),Constants!$A:$A,0)))),0),"")</f>
        <v/>
      </c>
      <c r="AZ295" s="146" t="str">
        <f>IFERROR(_xlfn.IFNA(IF($BA295="No",0,IF(INDEX(Constants!K:K,MATCH(($I295/12),Constants!$A:$A,0))=0,0,INDEX(Constants!K:K,MATCH(($I295/12),Constants!$A:$A,0)))),0),"")</f>
        <v/>
      </c>
      <c r="BA295" s="147" t="str">
        <f>_xlfn.IFNA(INDEX(Producer!$L:$L,MATCH($D295,Producer!$A:$A,0)),"")</f>
        <v/>
      </c>
      <c r="BB295" s="146" t="str">
        <f>IFERROR(IF(AQ295=0,"",IF(($I295/12)=15,_xlfn.CONCAT(Constants!$N$7,TEXT(DATE(YEAR(H295)-(($I295/12)-3),MONTH(H295),DAY(H295)),"dd/mm/yyyy"),", ",Constants!$P$7,TEXT(DATE(YEAR(H295)-(($I295/12)-8),MONTH(H295),DAY(H295)),"dd/mm/yyyy"),", ",Constants!$T$7,TEXT(DATE(YEAR(H295)-(($I295/12)-11),MONTH(H295),DAY(H295)),"dd/mm/yyyy"),", ",Constants!$V$7,TEXT(DATE(YEAR(H295)-(($I295/12)-13),MONTH(H295),DAY(H295)),"dd/mm/yyyy"),", ",Constants!$W$7,TEXT($H295,"dd/mm/yyyy")),IF(($I295/12)=10,_xlfn.CONCAT(Constants!$N$6,TEXT(DATE(YEAR(H295)-(($I295/12)-2),MONTH(H295),DAY(H295)),"dd/mm/yyyy"),", ",Constants!$P$6,TEXT(DATE(YEAR(H295)-(($I295/12)-6),MONTH(H295),DAY(H295)),"dd/mm/yyyy"),", ",Constants!$T$6,TEXT(DATE(YEAR(H295)-(($I295/12)-8),MONTH(H295),DAY(H295)),"dd/mm/yyyy"),", ",Constants!$V$6,TEXT(DATE(YEAR(H295)-(($I295/12)-9),MONTH(H295),DAY(H295)),"dd/mm/yyyy"),", ",Constants!$W$6,TEXT($H295,"dd/mm/yyyy")),IF(($I295/12)=5,_xlfn.CONCAT(Constants!$N$5,TEXT(DATE(YEAR(H295)-(($I295/12)-1),MONTH(H295),DAY(H295)),"dd/mm/yyyy"),", ",Constants!$O$5,TEXT(DATE(YEAR(H295)-(($I295/12)-2),MONTH(H295),DAY(H295)),"dd/mm/yyyy"),", ",Constants!$P$5,TEXT(DATE(YEAR(H295)-(($I295/12)-3),MONTH(H295),DAY(H295)),"dd/mm/yyyy"),", ",Constants!$Q$5,TEXT(DATE(YEAR(H295)-(($I295/12)-4),MONTH(H295),DAY(H295)),"dd/mm/yyyy"),", ",Constants!$R$5,TEXT($H295,"dd/mm/yyyy")),IF(($I295/12)=3,_xlfn.CONCAT(Constants!$N$4,TEXT(DATE(YEAR(H295)-(($I295/12)-1),MONTH(H295),DAY(H295)),"dd/mm/yyyy"),", ",Constants!$O$4,TEXT(DATE(YEAR(H295)-(($I295/12)-2),MONTH(H295),DAY(H295)),"dd/mm/yyyy"),", ",Constants!$P$4,TEXT($H295,"dd/mm/yyyy")),IF(($I295/12)=2,_xlfn.CONCAT(Constants!$N$3,TEXT(DATE(YEAR(H295)-(($I295/12)-1),MONTH(H295),DAY(H295)),"dd/mm/yyyy"),", ",Constants!$O$3,TEXT($H295,"dd/mm/yyyy")),IF(($I295/12)=1,_xlfn.CONCAT(Constants!$N$2,TEXT($H295,"dd/mm/yyyy")),"Update Constants"))))))),"")</f>
        <v/>
      </c>
      <c r="BC295" s="147" t="str">
        <f>_xlfn.IFNA(VALUE(INDEX(Producer!$K:$K,MATCH($D295,Producer!$A:$A,0))),"")</f>
        <v/>
      </c>
      <c r="BD295" s="147" t="str">
        <f>_xlfn.IFNA(INDEX(Producer!$I:$I,MATCH($D295,Producer!$A:$A,0)),"")</f>
        <v/>
      </c>
      <c r="BE295" s="147" t="str">
        <f t="shared" si="120"/>
        <v/>
      </c>
      <c r="BF295" s="147"/>
      <c r="BG295" s="147"/>
      <c r="BH295" s="151" t="str">
        <f>_xlfn.IFNA(INDEX(Constants!$B:$B,MATCH(BC295,Constants!A:A,0)),"")</f>
        <v/>
      </c>
      <c r="BI295" s="147" t="str">
        <f>IF(LEFT(B295,15)="Limited Company",Constants!$D$16,IFERROR(_xlfn.IFNA(IF(C295="Residential",IF(BK295&lt;75,INDEX(Constants!$B:$B,MATCH(VALUE(60)/100,Constants!$A:$A,0)),INDEX(Constants!$B:$B,MATCH(VALUE(BK295)/100,Constants!$A:$A,0))),IF(BK295&lt;60,INDEX(Constants!$C:$C,MATCH(VALUE(60)/100,Constants!$A:$A,0)),INDEX(Constants!$C:$C,MATCH(VALUE(BK295)/100,Constants!$A:$A,0)))),""),""))</f>
        <v/>
      </c>
      <c r="BJ295" s="147" t="str">
        <f t="shared" si="121"/>
        <v/>
      </c>
      <c r="BK295" s="147" t="str">
        <f>_xlfn.IFNA(VALUE(INDEX(Producer!$E:$E,MATCH($D295,Producer!$A:$A,0)))*100,"")</f>
        <v/>
      </c>
      <c r="BL295" s="146" t="str">
        <f>_xlfn.IFNA(IF(IFERROR(FIND("Part &amp; Part",B295),-10)&gt;0,"PP",IF(OR(LEFT(B295,25)="Residential Interest Only",INDEX(Producer!$P:$P,MATCH($D295,Producer!$A:$A,0))="IO",INDEX(Producer!$P:$P,MATCH($D295,Producer!$A:$A,0))="Retirement Interest Only"),"IO",IF($C295="BuyToLet","CI, IO","CI"))),"")</f>
        <v/>
      </c>
      <c r="BM295" s="152" t="str">
        <f>_xlfn.IFNA(IF(BL295="IO",100%,IF(AND(INDEX(Producer!$P:$P,MATCH($D295,Producer!$A:$A,0))="Residential Interest Only Part &amp; Part",BK295=75),80%,IF(C295="BuyToLet",100%,IF(BL295="Interest Only",100%,IF(AND(INDEX(Producer!$P:$P,MATCH($D295,Producer!$A:$A,0))="Residential Interest Only Part &amp; Part",BK295=60),100%,""))))),"")</f>
        <v/>
      </c>
      <c r="BN295" s="218" t="str">
        <f>_xlfn.IFNA(IF(VALUE(INDEX(Producer!$H:$H,MATCH($D295,Producer!$A:$A,0)))=0,"",VALUE(INDEX(Producer!$H:$H,MATCH($D295,Producer!$A:$A,0)))),"")</f>
        <v/>
      </c>
      <c r="BO295" s="153"/>
      <c r="BP295" s="153"/>
      <c r="BQ295" s="219" t="str">
        <f t="shared" si="122"/>
        <v/>
      </c>
      <c r="BR295" s="146"/>
      <c r="BS295" s="146"/>
      <c r="BT295" s="146"/>
      <c r="BU295" s="146"/>
      <c r="BV295" s="219" t="str">
        <f t="shared" si="123"/>
        <v/>
      </c>
      <c r="BW295" s="146"/>
      <c r="BX295" s="146"/>
      <c r="BY295" s="146" t="str">
        <f t="shared" si="124"/>
        <v/>
      </c>
      <c r="BZ295" s="146" t="str">
        <f t="shared" si="125"/>
        <v/>
      </c>
      <c r="CA295" s="146" t="str">
        <f t="shared" si="126"/>
        <v/>
      </c>
      <c r="CB295" s="146" t="str">
        <f t="shared" si="127"/>
        <v/>
      </c>
      <c r="CC295" s="146" t="str">
        <f>_xlfn.IFNA(IF(INDEX(Producer!$P:$P,MATCH($D295,Producer!$A:$A,0))="Help to Buy","Only available","No"),"")</f>
        <v/>
      </c>
      <c r="CD295" s="146" t="str">
        <f>_xlfn.IFNA(IF(INDEX(Producer!$P:$P,MATCH($D295,Producer!$A:$A,0))="Shared Ownership","Only available","No"),"")</f>
        <v/>
      </c>
      <c r="CE295" s="146" t="str">
        <f>_xlfn.IFNA(IF(INDEX(Producer!$P:$P,MATCH($D295,Producer!$A:$A,0))="Right to Buy","Only available","No"),"")</f>
        <v/>
      </c>
      <c r="CF295" s="146" t="str">
        <f t="shared" si="128"/>
        <v/>
      </c>
      <c r="CG295" s="146" t="str">
        <f>_xlfn.IFNA(IF(INDEX(Producer!$P:$P,MATCH($D295,Producer!$A:$A,0))="Retirement Interest Only","Only available","No"),"")</f>
        <v/>
      </c>
      <c r="CH295" s="146" t="str">
        <f t="shared" si="129"/>
        <v/>
      </c>
      <c r="CI295" s="146" t="str">
        <f>_xlfn.IFNA(IF(INDEX(Producer!$P:$P,MATCH($D295,Producer!$A:$A,0))="Intermediary Holiday Let","Only available","No"),"")</f>
        <v/>
      </c>
      <c r="CJ295" s="146" t="str">
        <f t="shared" si="130"/>
        <v/>
      </c>
      <c r="CK295" s="146" t="str">
        <f>_xlfn.IFNA(IF(OR(INDEX(Producer!$P:$P,MATCH($D295,Producer!$A:$A,0))="Intermediary Small HMO",INDEX(Producer!$P:$P,MATCH($D295,Producer!$A:$A,0))="Intermediary Large HMO"),"Only available","No"),"")</f>
        <v/>
      </c>
      <c r="CL295" s="146" t="str">
        <f t="shared" si="131"/>
        <v/>
      </c>
      <c r="CM295" s="146" t="str">
        <f t="shared" si="132"/>
        <v/>
      </c>
      <c r="CN295" s="146" t="str">
        <f t="shared" si="133"/>
        <v/>
      </c>
      <c r="CO295" s="146" t="str">
        <f t="shared" si="134"/>
        <v/>
      </c>
      <c r="CP295" s="146" t="str">
        <f t="shared" si="135"/>
        <v/>
      </c>
      <c r="CQ295" s="146" t="str">
        <f t="shared" si="136"/>
        <v/>
      </c>
      <c r="CR295" s="146" t="str">
        <f t="shared" si="137"/>
        <v/>
      </c>
      <c r="CS295" s="146" t="str">
        <f t="shared" si="138"/>
        <v/>
      </c>
      <c r="CT295" s="146" t="str">
        <f t="shared" si="139"/>
        <v/>
      </c>
      <c r="CU295" s="146"/>
    </row>
    <row r="296" spans="1:99" ht="16.399999999999999" customHeight="1" x14ac:dyDescent="0.35">
      <c r="A296" s="145" t="str">
        <f t="shared" si="112"/>
        <v/>
      </c>
      <c r="B296" s="145" t="str">
        <f>_xlfn.IFNA(_xlfn.CONCAT(INDEX(Producer!$P:$P,MATCH($D296,Producer!$A:$A,0))," ",IF(INDEX(Producer!$N:$N,MATCH($D296,Producer!$A:$A,0))="Yes","Green ",""),IF(AND(INDEX(Producer!$L:$L,MATCH($D296,Producer!$A:$A,0))="No",INDEX(Producer!$C:$C,MATCH($D296,Producer!$A:$A,0))="Fixed"),"Flexit ",""),INDEX(Producer!$B:$B,MATCH($D296,Producer!$A:$A,0))," Year ",INDEX(Producer!$C:$C,MATCH($D296,Producer!$A:$A,0))," ",VALUE(INDEX(Producer!$E:$E,MATCH($D296,Producer!$A:$A,0)))*100,"% LTV",IF(INDEX(Producer!$N:$N,MATCH($D296,Producer!$A:$A,0))="Yes"," (EPC A-C)","")," - ",IF(INDEX(Producer!$D:$D,MATCH($D296,Producer!$A:$A,0))="DLY","Daily","Annual")),"")</f>
        <v/>
      </c>
      <c r="C296" s="146" t="str">
        <f>_xlfn.IFNA(INDEX(Producer!$Q:$Q,MATCH($D296,Producer!$A:$A,0)),"")</f>
        <v/>
      </c>
      <c r="D296" s="146" t="str">
        <f>IFERROR(VALUE(MID(Producer!$R$2,IF($D295="",1/0,FIND(_xlfn.CONCAT($D294,$D295),Producer!$R$2)+10),5)),"")</f>
        <v/>
      </c>
      <c r="E296" s="146" t="str">
        <f t="shared" si="113"/>
        <v/>
      </c>
      <c r="F296" s="146"/>
      <c r="G296" s="147" t="str">
        <f>_xlfn.IFNA(VALUE(INDEX(Producer!$F:$F,MATCH($D296,Producer!$A:$A,0)))*100,"")</f>
        <v/>
      </c>
      <c r="H296" s="216" t="str">
        <f>_xlfn.IFNA(IFERROR(DATEVALUE(INDEX(Producer!$M:$M,MATCH($D296,Producer!$A:$A,0))),(INDEX(Producer!$M:$M,MATCH($D296,Producer!$A:$A,0)))),"")</f>
        <v/>
      </c>
      <c r="I296" s="217" t="str">
        <f>_xlfn.IFNA(VALUE(INDEX(Producer!$B:$B,MATCH($D296,Producer!$A:$A,0)))*12,"")</f>
        <v/>
      </c>
      <c r="J296" s="146" t="str">
        <f>_xlfn.IFNA(IF(C296="Residential",IF(VALUE(INDEX(Producer!$B:$B,MATCH($D296,Producer!$A:$A,0)))&lt;5,Constants!$C$10,""),IF(VALUE(INDEX(Producer!$B:$B,MATCH($D296,Producer!$A:$A,0)))&lt;5,Constants!$C$11,"")),"")</f>
        <v/>
      </c>
      <c r="K296" s="216" t="str">
        <f>_xlfn.IFNA(IF(($I296)&lt;60,DATE(YEAR(H296)+(5-VALUE(INDEX(Producer!$B:$B,MATCH($D296,Producer!$A:$A,0)))),MONTH(H296),DAY(H296)),""),"")</f>
        <v/>
      </c>
      <c r="L296" s="153" t="str">
        <f t="shared" si="114"/>
        <v/>
      </c>
      <c r="M296" s="146"/>
      <c r="N296" s="148"/>
      <c r="O296" s="148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  <c r="AA296" s="146"/>
      <c r="AB296" s="146"/>
      <c r="AC296" s="146"/>
      <c r="AD296" s="146"/>
      <c r="AE296" s="146"/>
      <c r="AF296" s="146"/>
      <c r="AG296" s="146"/>
      <c r="AH296" s="146"/>
      <c r="AI296" s="146"/>
      <c r="AJ296" s="146"/>
      <c r="AK296" s="146" t="str">
        <f>IF(D296="","",IF(C296="Residential",Constants!$B$10,Constants!$B$11))</f>
        <v/>
      </c>
      <c r="AL296" s="146" t="str">
        <f t="shared" si="115"/>
        <v/>
      </c>
      <c r="AM296" s="206" t="str">
        <f t="shared" si="116"/>
        <v/>
      </c>
      <c r="AN296" s="146" t="str">
        <f t="shared" si="117"/>
        <v/>
      </c>
      <c r="AO296" s="149" t="str">
        <f t="shared" si="118"/>
        <v/>
      </c>
      <c r="AP296" s="150" t="str">
        <f t="shared" si="119"/>
        <v/>
      </c>
      <c r="AQ296" s="146" t="str">
        <f>IFERROR(_xlfn.IFNA(IF($BA296="No",0,IF(INDEX(Constants!B:B,MATCH(($I296/12),Constants!$A:$A,0))=0,0,INDEX(Constants!B:B,MATCH(($I296/12),Constants!$A:$A,0)))),0),"")</f>
        <v/>
      </c>
      <c r="AR296" s="146" t="str">
        <f>IFERROR(_xlfn.IFNA(IF($BA296="No",0,IF(INDEX(Constants!C:C,MATCH(($I296/12),Constants!$A:$A,0))=0,0,INDEX(Constants!C:C,MATCH(($I296/12),Constants!$A:$A,0)))),0),"")</f>
        <v/>
      </c>
      <c r="AS296" s="146" t="str">
        <f>IFERROR(_xlfn.IFNA(IF($BA296="No",0,IF(INDEX(Constants!D:D,MATCH(($I296/12),Constants!$A:$A,0))=0,0,INDEX(Constants!D:D,MATCH(($I296/12),Constants!$A:$A,0)))),0),"")</f>
        <v/>
      </c>
      <c r="AT296" s="146" t="str">
        <f>IFERROR(_xlfn.IFNA(IF($BA296="No",0,IF(INDEX(Constants!E:E,MATCH(($I296/12),Constants!$A:$A,0))=0,0,INDEX(Constants!E:E,MATCH(($I296/12),Constants!$A:$A,0)))),0),"")</f>
        <v/>
      </c>
      <c r="AU296" s="146" t="str">
        <f>IFERROR(_xlfn.IFNA(IF($BA296="No",0,IF(INDEX(Constants!F:F,MATCH(($I296/12),Constants!$A:$A,0))=0,0,INDEX(Constants!F:F,MATCH(($I296/12),Constants!$A:$A,0)))),0),"")</f>
        <v/>
      </c>
      <c r="AV296" s="146" t="str">
        <f>IFERROR(_xlfn.IFNA(IF($BA296="No",0,IF(INDEX(Constants!G:G,MATCH(($I296/12),Constants!$A:$A,0))=0,0,INDEX(Constants!G:G,MATCH(($I296/12),Constants!$A:$A,0)))),0),"")</f>
        <v/>
      </c>
      <c r="AW296" s="146" t="str">
        <f>IFERROR(_xlfn.IFNA(IF($BA296="No",0,IF(INDEX(Constants!H:H,MATCH(($I296/12),Constants!$A:$A,0))=0,0,INDEX(Constants!H:H,MATCH(($I296/12),Constants!$A:$A,0)))),0),"")</f>
        <v/>
      </c>
      <c r="AX296" s="146" t="str">
        <f>IFERROR(_xlfn.IFNA(IF($BA296="No",0,IF(INDEX(Constants!I:I,MATCH(($I296/12),Constants!$A:$A,0))=0,0,INDEX(Constants!I:I,MATCH(($I296/12),Constants!$A:$A,0)))),0),"")</f>
        <v/>
      </c>
      <c r="AY296" s="146" t="str">
        <f>IFERROR(_xlfn.IFNA(IF($BA296="No",0,IF(INDEX(Constants!J:J,MATCH(($I296/12),Constants!$A:$A,0))=0,0,INDEX(Constants!J:J,MATCH(($I296/12),Constants!$A:$A,0)))),0),"")</f>
        <v/>
      </c>
      <c r="AZ296" s="146" t="str">
        <f>IFERROR(_xlfn.IFNA(IF($BA296="No",0,IF(INDEX(Constants!K:K,MATCH(($I296/12),Constants!$A:$A,0))=0,0,INDEX(Constants!K:K,MATCH(($I296/12),Constants!$A:$A,0)))),0),"")</f>
        <v/>
      </c>
      <c r="BA296" s="147" t="str">
        <f>_xlfn.IFNA(INDEX(Producer!$L:$L,MATCH($D296,Producer!$A:$A,0)),"")</f>
        <v/>
      </c>
      <c r="BB296" s="146" t="str">
        <f>IFERROR(IF(AQ296=0,"",IF(($I296/12)=15,_xlfn.CONCAT(Constants!$N$7,TEXT(DATE(YEAR(H296)-(($I296/12)-3),MONTH(H296),DAY(H296)),"dd/mm/yyyy"),", ",Constants!$P$7,TEXT(DATE(YEAR(H296)-(($I296/12)-8),MONTH(H296),DAY(H296)),"dd/mm/yyyy"),", ",Constants!$T$7,TEXT(DATE(YEAR(H296)-(($I296/12)-11),MONTH(H296),DAY(H296)),"dd/mm/yyyy"),", ",Constants!$V$7,TEXT(DATE(YEAR(H296)-(($I296/12)-13),MONTH(H296),DAY(H296)),"dd/mm/yyyy"),", ",Constants!$W$7,TEXT($H296,"dd/mm/yyyy")),IF(($I296/12)=10,_xlfn.CONCAT(Constants!$N$6,TEXT(DATE(YEAR(H296)-(($I296/12)-2),MONTH(H296),DAY(H296)),"dd/mm/yyyy"),", ",Constants!$P$6,TEXT(DATE(YEAR(H296)-(($I296/12)-6),MONTH(H296),DAY(H296)),"dd/mm/yyyy"),", ",Constants!$T$6,TEXT(DATE(YEAR(H296)-(($I296/12)-8),MONTH(H296),DAY(H296)),"dd/mm/yyyy"),", ",Constants!$V$6,TEXT(DATE(YEAR(H296)-(($I296/12)-9),MONTH(H296),DAY(H296)),"dd/mm/yyyy"),", ",Constants!$W$6,TEXT($H296,"dd/mm/yyyy")),IF(($I296/12)=5,_xlfn.CONCAT(Constants!$N$5,TEXT(DATE(YEAR(H296)-(($I296/12)-1),MONTH(H296),DAY(H296)),"dd/mm/yyyy"),", ",Constants!$O$5,TEXT(DATE(YEAR(H296)-(($I296/12)-2),MONTH(H296),DAY(H296)),"dd/mm/yyyy"),", ",Constants!$P$5,TEXT(DATE(YEAR(H296)-(($I296/12)-3),MONTH(H296),DAY(H296)),"dd/mm/yyyy"),", ",Constants!$Q$5,TEXT(DATE(YEAR(H296)-(($I296/12)-4),MONTH(H296),DAY(H296)),"dd/mm/yyyy"),", ",Constants!$R$5,TEXT($H296,"dd/mm/yyyy")),IF(($I296/12)=3,_xlfn.CONCAT(Constants!$N$4,TEXT(DATE(YEAR(H296)-(($I296/12)-1),MONTH(H296),DAY(H296)),"dd/mm/yyyy"),", ",Constants!$O$4,TEXT(DATE(YEAR(H296)-(($I296/12)-2),MONTH(H296),DAY(H296)),"dd/mm/yyyy"),", ",Constants!$P$4,TEXT($H296,"dd/mm/yyyy")),IF(($I296/12)=2,_xlfn.CONCAT(Constants!$N$3,TEXT(DATE(YEAR(H296)-(($I296/12)-1),MONTH(H296),DAY(H296)),"dd/mm/yyyy"),", ",Constants!$O$3,TEXT($H296,"dd/mm/yyyy")),IF(($I296/12)=1,_xlfn.CONCAT(Constants!$N$2,TEXT($H296,"dd/mm/yyyy")),"Update Constants"))))))),"")</f>
        <v/>
      </c>
      <c r="BC296" s="147" t="str">
        <f>_xlfn.IFNA(VALUE(INDEX(Producer!$K:$K,MATCH($D296,Producer!$A:$A,0))),"")</f>
        <v/>
      </c>
      <c r="BD296" s="147" t="str">
        <f>_xlfn.IFNA(INDEX(Producer!$I:$I,MATCH($D296,Producer!$A:$A,0)),"")</f>
        <v/>
      </c>
      <c r="BE296" s="147" t="str">
        <f t="shared" si="120"/>
        <v/>
      </c>
      <c r="BF296" s="147"/>
      <c r="BG296" s="147"/>
      <c r="BH296" s="151" t="str">
        <f>_xlfn.IFNA(INDEX(Constants!$B:$B,MATCH(BC296,Constants!A:A,0)),"")</f>
        <v/>
      </c>
      <c r="BI296" s="147" t="str">
        <f>IF(LEFT(B296,15)="Limited Company",Constants!$D$16,IFERROR(_xlfn.IFNA(IF(C296="Residential",IF(BK296&lt;75,INDEX(Constants!$B:$B,MATCH(VALUE(60)/100,Constants!$A:$A,0)),INDEX(Constants!$B:$B,MATCH(VALUE(BK296)/100,Constants!$A:$A,0))),IF(BK296&lt;60,INDEX(Constants!$C:$C,MATCH(VALUE(60)/100,Constants!$A:$A,0)),INDEX(Constants!$C:$C,MATCH(VALUE(BK296)/100,Constants!$A:$A,0)))),""),""))</f>
        <v/>
      </c>
      <c r="BJ296" s="147" t="str">
        <f t="shared" si="121"/>
        <v/>
      </c>
      <c r="BK296" s="147" t="str">
        <f>_xlfn.IFNA(VALUE(INDEX(Producer!$E:$E,MATCH($D296,Producer!$A:$A,0)))*100,"")</f>
        <v/>
      </c>
      <c r="BL296" s="146" t="str">
        <f>_xlfn.IFNA(IF(IFERROR(FIND("Part &amp; Part",B296),-10)&gt;0,"PP",IF(OR(LEFT(B296,25)="Residential Interest Only",INDEX(Producer!$P:$P,MATCH($D296,Producer!$A:$A,0))="IO",INDEX(Producer!$P:$P,MATCH($D296,Producer!$A:$A,0))="Retirement Interest Only"),"IO",IF($C296="BuyToLet","CI, IO","CI"))),"")</f>
        <v/>
      </c>
      <c r="BM296" s="152" t="str">
        <f>_xlfn.IFNA(IF(BL296="IO",100%,IF(AND(INDEX(Producer!$P:$P,MATCH($D296,Producer!$A:$A,0))="Residential Interest Only Part &amp; Part",BK296=75),80%,IF(C296="BuyToLet",100%,IF(BL296="Interest Only",100%,IF(AND(INDEX(Producer!$P:$P,MATCH($D296,Producer!$A:$A,0))="Residential Interest Only Part &amp; Part",BK296=60),100%,""))))),"")</f>
        <v/>
      </c>
      <c r="BN296" s="218" t="str">
        <f>_xlfn.IFNA(IF(VALUE(INDEX(Producer!$H:$H,MATCH($D296,Producer!$A:$A,0)))=0,"",VALUE(INDEX(Producer!$H:$H,MATCH($D296,Producer!$A:$A,0)))),"")</f>
        <v/>
      </c>
      <c r="BO296" s="153"/>
      <c r="BP296" s="153"/>
      <c r="BQ296" s="219" t="str">
        <f t="shared" si="122"/>
        <v/>
      </c>
      <c r="BR296" s="146"/>
      <c r="BS296" s="146"/>
      <c r="BT296" s="146"/>
      <c r="BU296" s="146"/>
      <c r="BV296" s="219" t="str">
        <f t="shared" si="123"/>
        <v/>
      </c>
      <c r="BW296" s="146"/>
      <c r="BX296" s="146"/>
      <c r="BY296" s="146" t="str">
        <f t="shared" si="124"/>
        <v/>
      </c>
      <c r="BZ296" s="146" t="str">
        <f t="shared" si="125"/>
        <v/>
      </c>
      <c r="CA296" s="146" t="str">
        <f t="shared" si="126"/>
        <v/>
      </c>
      <c r="CB296" s="146" t="str">
        <f t="shared" si="127"/>
        <v/>
      </c>
      <c r="CC296" s="146" t="str">
        <f>_xlfn.IFNA(IF(INDEX(Producer!$P:$P,MATCH($D296,Producer!$A:$A,0))="Help to Buy","Only available","No"),"")</f>
        <v/>
      </c>
      <c r="CD296" s="146" t="str">
        <f>_xlfn.IFNA(IF(INDEX(Producer!$P:$P,MATCH($D296,Producer!$A:$A,0))="Shared Ownership","Only available","No"),"")</f>
        <v/>
      </c>
      <c r="CE296" s="146" t="str">
        <f>_xlfn.IFNA(IF(INDEX(Producer!$P:$P,MATCH($D296,Producer!$A:$A,0))="Right to Buy","Only available","No"),"")</f>
        <v/>
      </c>
      <c r="CF296" s="146" t="str">
        <f t="shared" si="128"/>
        <v/>
      </c>
      <c r="CG296" s="146" t="str">
        <f>_xlfn.IFNA(IF(INDEX(Producer!$P:$P,MATCH($D296,Producer!$A:$A,0))="Retirement Interest Only","Only available","No"),"")</f>
        <v/>
      </c>
      <c r="CH296" s="146" t="str">
        <f t="shared" si="129"/>
        <v/>
      </c>
      <c r="CI296" s="146" t="str">
        <f>_xlfn.IFNA(IF(INDEX(Producer!$P:$P,MATCH($D296,Producer!$A:$A,0))="Intermediary Holiday Let","Only available","No"),"")</f>
        <v/>
      </c>
      <c r="CJ296" s="146" t="str">
        <f t="shared" si="130"/>
        <v/>
      </c>
      <c r="CK296" s="146" t="str">
        <f>_xlfn.IFNA(IF(OR(INDEX(Producer!$P:$P,MATCH($D296,Producer!$A:$A,0))="Intermediary Small HMO",INDEX(Producer!$P:$P,MATCH($D296,Producer!$A:$A,0))="Intermediary Large HMO"),"Only available","No"),"")</f>
        <v/>
      </c>
      <c r="CL296" s="146" t="str">
        <f t="shared" si="131"/>
        <v/>
      </c>
      <c r="CM296" s="146" t="str">
        <f t="shared" si="132"/>
        <v/>
      </c>
      <c r="CN296" s="146" t="str">
        <f t="shared" si="133"/>
        <v/>
      </c>
      <c r="CO296" s="146" t="str">
        <f t="shared" si="134"/>
        <v/>
      </c>
      <c r="CP296" s="146" t="str">
        <f t="shared" si="135"/>
        <v/>
      </c>
      <c r="CQ296" s="146" t="str">
        <f t="shared" si="136"/>
        <v/>
      </c>
      <c r="CR296" s="146" t="str">
        <f t="shared" si="137"/>
        <v/>
      </c>
      <c r="CS296" s="146" t="str">
        <f t="shared" si="138"/>
        <v/>
      </c>
      <c r="CT296" s="146" t="str">
        <f t="shared" si="139"/>
        <v/>
      </c>
      <c r="CU296" s="146"/>
    </row>
    <row r="297" spans="1:99" ht="16.399999999999999" customHeight="1" x14ac:dyDescent="0.35">
      <c r="A297" s="145" t="str">
        <f t="shared" si="112"/>
        <v/>
      </c>
      <c r="B297" s="145" t="str">
        <f>_xlfn.IFNA(_xlfn.CONCAT(INDEX(Producer!$P:$P,MATCH($D297,Producer!$A:$A,0))," ",IF(INDEX(Producer!$N:$N,MATCH($D297,Producer!$A:$A,0))="Yes","Green ",""),IF(AND(INDEX(Producer!$L:$L,MATCH($D297,Producer!$A:$A,0))="No",INDEX(Producer!$C:$C,MATCH($D297,Producer!$A:$A,0))="Fixed"),"Flexit ",""),INDEX(Producer!$B:$B,MATCH($D297,Producer!$A:$A,0))," Year ",INDEX(Producer!$C:$C,MATCH($D297,Producer!$A:$A,0))," ",VALUE(INDEX(Producer!$E:$E,MATCH($D297,Producer!$A:$A,0)))*100,"% LTV",IF(INDEX(Producer!$N:$N,MATCH($D297,Producer!$A:$A,0))="Yes"," (EPC A-C)","")," - ",IF(INDEX(Producer!$D:$D,MATCH($D297,Producer!$A:$A,0))="DLY","Daily","Annual")),"")</f>
        <v/>
      </c>
      <c r="C297" s="146" t="str">
        <f>_xlfn.IFNA(INDEX(Producer!$Q:$Q,MATCH($D297,Producer!$A:$A,0)),"")</f>
        <v/>
      </c>
      <c r="D297" s="146" t="str">
        <f>IFERROR(VALUE(MID(Producer!$R$2,IF($D296="",1/0,FIND(_xlfn.CONCAT($D295,$D296),Producer!$R$2)+10),5)),"")</f>
        <v/>
      </c>
      <c r="E297" s="146" t="str">
        <f t="shared" si="113"/>
        <v/>
      </c>
      <c r="F297" s="146"/>
      <c r="G297" s="147" t="str">
        <f>_xlfn.IFNA(VALUE(INDEX(Producer!$F:$F,MATCH($D297,Producer!$A:$A,0)))*100,"")</f>
        <v/>
      </c>
      <c r="H297" s="216" t="str">
        <f>_xlfn.IFNA(IFERROR(DATEVALUE(INDEX(Producer!$M:$M,MATCH($D297,Producer!$A:$A,0))),(INDEX(Producer!$M:$M,MATCH($D297,Producer!$A:$A,0)))),"")</f>
        <v/>
      </c>
      <c r="I297" s="217" t="str">
        <f>_xlfn.IFNA(VALUE(INDEX(Producer!$B:$B,MATCH($D297,Producer!$A:$A,0)))*12,"")</f>
        <v/>
      </c>
      <c r="J297" s="146" t="str">
        <f>_xlfn.IFNA(IF(C297="Residential",IF(VALUE(INDEX(Producer!$B:$B,MATCH($D297,Producer!$A:$A,0)))&lt;5,Constants!$C$10,""),IF(VALUE(INDEX(Producer!$B:$B,MATCH($D297,Producer!$A:$A,0)))&lt;5,Constants!$C$11,"")),"")</f>
        <v/>
      </c>
      <c r="K297" s="216" t="str">
        <f>_xlfn.IFNA(IF(($I297)&lt;60,DATE(YEAR(H297)+(5-VALUE(INDEX(Producer!$B:$B,MATCH($D297,Producer!$A:$A,0)))),MONTH(H297),DAY(H297)),""),"")</f>
        <v/>
      </c>
      <c r="L297" s="153" t="str">
        <f t="shared" si="114"/>
        <v/>
      </c>
      <c r="M297" s="146"/>
      <c r="N297" s="148"/>
      <c r="O297" s="148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  <c r="AA297" s="146"/>
      <c r="AB297" s="146"/>
      <c r="AC297" s="146"/>
      <c r="AD297" s="146"/>
      <c r="AE297" s="146"/>
      <c r="AF297" s="146"/>
      <c r="AG297" s="146"/>
      <c r="AH297" s="146"/>
      <c r="AI297" s="146"/>
      <c r="AJ297" s="146"/>
      <c r="AK297" s="146" t="str">
        <f>IF(D297="","",IF(C297="Residential",Constants!$B$10,Constants!$B$11))</f>
        <v/>
      </c>
      <c r="AL297" s="146" t="str">
        <f t="shared" si="115"/>
        <v/>
      </c>
      <c r="AM297" s="206" t="str">
        <f t="shared" si="116"/>
        <v/>
      </c>
      <c r="AN297" s="146" t="str">
        <f t="shared" si="117"/>
        <v/>
      </c>
      <c r="AO297" s="149" t="str">
        <f t="shared" si="118"/>
        <v/>
      </c>
      <c r="AP297" s="150" t="str">
        <f t="shared" si="119"/>
        <v/>
      </c>
      <c r="AQ297" s="146" t="str">
        <f>IFERROR(_xlfn.IFNA(IF($BA297="No",0,IF(INDEX(Constants!B:B,MATCH(($I297/12),Constants!$A:$A,0))=0,0,INDEX(Constants!B:B,MATCH(($I297/12),Constants!$A:$A,0)))),0),"")</f>
        <v/>
      </c>
      <c r="AR297" s="146" t="str">
        <f>IFERROR(_xlfn.IFNA(IF($BA297="No",0,IF(INDEX(Constants!C:C,MATCH(($I297/12),Constants!$A:$A,0))=0,0,INDEX(Constants!C:C,MATCH(($I297/12),Constants!$A:$A,0)))),0),"")</f>
        <v/>
      </c>
      <c r="AS297" s="146" t="str">
        <f>IFERROR(_xlfn.IFNA(IF($BA297="No",0,IF(INDEX(Constants!D:D,MATCH(($I297/12),Constants!$A:$A,0))=0,0,INDEX(Constants!D:D,MATCH(($I297/12),Constants!$A:$A,0)))),0),"")</f>
        <v/>
      </c>
      <c r="AT297" s="146" t="str">
        <f>IFERROR(_xlfn.IFNA(IF($BA297="No",0,IF(INDEX(Constants!E:E,MATCH(($I297/12),Constants!$A:$A,0))=0,0,INDEX(Constants!E:E,MATCH(($I297/12),Constants!$A:$A,0)))),0),"")</f>
        <v/>
      </c>
      <c r="AU297" s="146" t="str">
        <f>IFERROR(_xlfn.IFNA(IF($BA297="No",0,IF(INDEX(Constants!F:F,MATCH(($I297/12),Constants!$A:$A,0))=0,0,INDEX(Constants!F:F,MATCH(($I297/12),Constants!$A:$A,0)))),0),"")</f>
        <v/>
      </c>
      <c r="AV297" s="146" t="str">
        <f>IFERROR(_xlfn.IFNA(IF($BA297="No",0,IF(INDEX(Constants!G:G,MATCH(($I297/12),Constants!$A:$A,0))=0,0,INDEX(Constants!G:G,MATCH(($I297/12),Constants!$A:$A,0)))),0),"")</f>
        <v/>
      </c>
      <c r="AW297" s="146" t="str">
        <f>IFERROR(_xlfn.IFNA(IF($BA297="No",0,IF(INDEX(Constants!H:H,MATCH(($I297/12),Constants!$A:$A,0))=0,0,INDEX(Constants!H:H,MATCH(($I297/12),Constants!$A:$A,0)))),0),"")</f>
        <v/>
      </c>
      <c r="AX297" s="146" t="str">
        <f>IFERROR(_xlfn.IFNA(IF($BA297="No",0,IF(INDEX(Constants!I:I,MATCH(($I297/12),Constants!$A:$A,0))=0,0,INDEX(Constants!I:I,MATCH(($I297/12),Constants!$A:$A,0)))),0),"")</f>
        <v/>
      </c>
      <c r="AY297" s="146" t="str">
        <f>IFERROR(_xlfn.IFNA(IF($BA297="No",0,IF(INDEX(Constants!J:J,MATCH(($I297/12),Constants!$A:$A,0))=0,0,INDEX(Constants!J:J,MATCH(($I297/12),Constants!$A:$A,0)))),0),"")</f>
        <v/>
      </c>
      <c r="AZ297" s="146" t="str">
        <f>IFERROR(_xlfn.IFNA(IF($BA297="No",0,IF(INDEX(Constants!K:K,MATCH(($I297/12),Constants!$A:$A,0))=0,0,INDEX(Constants!K:K,MATCH(($I297/12),Constants!$A:$A,0)))),0),"")</f>
        <v/>
      </c>
      <c r="BA297" s="147" t="str">
        <f>_xlfn.IFNA(INDEX(Producer!$L:$L,MATCH($D297,Producer!$A:$A,0)),"")</f>
        <v/>
      </c>
      <c r="BB297" s="146" t="str">
        <f>IFERROR(IF(AQ297=0,"",IF(($I297/12)=15,_xlfn.CONCAT(Constants!$N$7,TEXT(DATE(YEAR(H297)-(($I297/12)-3),MONTH(H297),DAY(H297)),"dd/mm/yyyy"),", ",Constants!$P$7,TEXT(DATE(YEAR(H297)-(($I297/12)-8),MONTH(H297),DAY(H297)),"dd/mm/yyyy"),", ",Constants!$T$7,TEXT(DATE(YEAR(H297)-(($I297/12)-11),MONTH(H297),DAY(H297)),"dd/mm/yyyy"),", ",Constants!$V$7,TEXT(DATE(YEAR(H297)-(($I297/12)-13),MONTH(H297),DAY(H297)),"dd/mm/yyyy"),", ",Constants!$W$7,TEXT($H297,"dd/mm/yyyy")),IF(($I297/12)=10,_xlfn.CONCAT(Constants!$N$6,TEXT(DATE(YEAR(H297)-(($I297/12)-2),MONTH(H297),DAY(H297)),"dd/mm/yyyy"),", ",Constants!$P$6,TEXT(DATE(YEAR(H297)-(($I297/12)-6),MONTH(H297),DAY(H297)),"dd/mm/yyyy"),", ",Constants!$T$6,TEXT(DATE(YEAR(H297)-(($I297/12)-8),MONTH(H297),DAY(H297)),"dd/mm/yyyy"),", ",Constants!$V$6,TEXT(DATE(YEAR(H297)-(($I297/12)-9),MONTH(H297),DAY(H297)),"dd/mm/yyyy"),", ",Constants!$W$6,TEXT($H297,"dd/mm/yyyy")),IF(($I297/12)=5,_xlfn.CONCAT(Constants!$N$5,TEXT(DATE(YEAR(H297)-(($I297/12)-1),MONTH(H297),DAY(H297)),"dd/mm/yyyy"),", ",Constants!$O$5,TEXT(DATE(YEAR(H297)-(($I297/12)-2),MONTH(H297),DAY(H297)),"dd/mm/yyyy"),", ",Constants!$P$5,TEXT(DATE(YEAR(H297)-(($I297/12)-3),MONTH(H297),DAY(H297)),"dd/mm/yyyy"),", ",Constants!$Q$5,TEXT(DATE(YEAR(H297)-(($I297/12)-4),MONTH(H297),DAY(H297)),"dd/mm/yyyy"),", ",Constants!$R$5,TEXT($H297,"dd/mm/yyyy")),IF(($I297/12)=3,_xlfn.CONCAT(Constants!$N$4,TEXT(DATE(YEAR(H297)-(($I297/12)-1),MONTH(H297),DAY(H297)),"dd/mm/yyyy"),", ",Constants!$O$4,TEXT(DATE(YEAR(H297)-(($I297/12)-2),MONTH(H297),DAY(H297)),"dd/mm/yyyy"),", ",Constants!$P$4,TEXT($H297,"dd/mm/yyyy")),IF(($I297/12)=2,_xlfn.CONCAT(Constants!$N$3,TEXT(DATE(YEAR(H297)-(($I297/12)-1),MONTH(H297),DAY(H297)),"dd/mm/yyyy"),", ",Constants!$O$3,TEXT($H297,"dd/mm/yyyy")),IF(($I297/12)=1,_xlfn.CONCAT(Constants!$N$2,TEXT($H297,"dd/mm/yyyy")),"Update Constants"))))))),"")</f>
        <v/>
      </c>
      <c r="BC297" s="147" t="str">
        <f>_xlfn.IFNA(VALUE(INDEX(Producer!$K:$K,MATCH($D297,Producer!$A:$A,0))),"")</f>
        <v/>
      </c>
      <c r="BD297" s="147" t="str">
        <f>_xlfn.IFNA(INDEX(Producer!$I:$I,MATCH($D297,Producer!$A:$A,0)),"")</f>
        <v/>
      </c>
      <c r="BE297" s="147" t="str">
        <f t="shared" si="120"/>
        <v/>
      </c>
      <c r="BF297" s="147"/>
      <c r="BG297" s="147"/>
      <c r="BH297" s="151" t="str">
        <f>_xlfn.IFNA(INDEX(Constants!$B:$B,MATCH(BC297,Constants!A:A,0)),"")</f>
        <v/>
      </c>
      <c r="BI297" s="147" t="str">
        <f>IF(LEFT(B297,15)="Limited Company",Constants!$D$16,IFERROR(_xlfn.IFNA(IF(C297="Residential",IF(BK297&lt;75,INDEX(Constants!$B:$B,MATCH(VALUE(60)/100,Constants!$A:$A,0)),INDEX(Constants!$B:$B,MATCH(VALUE(BK297)/100,Constants!$A:$A,0))),IF(BK297&lt;60,INDEX(Constants!$C:$C,MATCH(VALUE(60)/100,Constants!$A:$A,0)),INDEX(Constants!$C:$C,MATCH(VALUE(BK297)/100,Constants!$A:$A,0)))),""),""))</f>
        <v/>
      </c>
      <c r="BJ297" s="147" t="str">
        <f t="shared" si="121"/>
        <v/>
      </c>
      <c r="BK297" s="147" t="str">
        <f>_xlfn.IFNA(VALUE(INDEX(Producer!$E:$E,MATCH($D297,Producer!$A:$A,0)))*100,"")</f>
        <v/>
      </c>
      <c r="BL297" s="146" t="str">
        <f>_xlfn.IFNA(IF(IFERROR(FIND("Part &amp; Part",B297),-10)&gt;0,"PP",IF(OR(LEFT(B297,25)="Residential Interest Only",INDEX(Producer!$P:$P,MATCH($D297,Producer!$A:$A,0))="IO",INDEX(Producer!$P:$P,MATCH($D297,Producer!$A:$A,0))="Retirement Interest Only"),"IO",IF($C297="BuyToLet","CI, IO","CI"))),"")</f>
        <v/>
      </c>
      <c r="BM297" s="152" t="str">
        <f>_xlfn.IFNA(IF(BL297="IO",100%,IF(AND(INDEX(Producer!$P:$P,MATCH($D297,Producer!$A:$A,0))="Residential Interest Only Part &amp; Part",BK297=75),80%,IF(C297="BuyToLet",100%,IF(BL297="Interest Only",100%,IF(AND(INDEX(Producer!$P:$P,MATCH($D297,Producer!$A:$A,0))="Residential Interest Only Part &amp; Part",BK297=60),100%,""))))),"")</f>
        <v/>
      </c>
      <c r="BN297" s="218" t="str">
        <f>_xlfn.IFNA(IF(VALUE(INDEX(Producer!$H:$H,MATCH($D297,Producer!$A:$A,0)))=0,"",VALUE(INDEX(Producer!$H:$H,MATCH($D297,Producer!$A:$A,0)))),"")</f>
        <v/>
      </c>
      <c r="BO297" s="153"/>
      <c r="BP297" s="153"/>
      <c r="BQ297" s="219" t="str">
        <f t="shared" si="122"/>
        <v/>
      </c>
      <c r="BR297" s="146"/>
      <c r="BS297" s="146"/>
      <c r="BT297" s="146"/>
      <c r="BU297" s="146"/>
      <c r="BV297" s="219" t="str">
        <f t="shared" si="123"/>
        <v/>
      </c>
      <c r="BW297" s="146"/>
      <c r="BX297" s="146"/>
      <c r="BY297" s="146" t="str">
        <f t="shared" si="124"/>
        <v/>
      </c>
      <c r="BZ297" s="146" t="str">
        <f t="shared" si="125"/>
        <v/>
      </c>
      <c r="CA297" s="146" t="str">
        <f t="shared" si="126"/>
        <v/>
      </c>
      <c r="CB297" s="146" t="str">
        <f t="shared" si="127"/>
        <v/>
      </c>
      <c r="CC297" s="146" t="str">
        <f>_xlfn.IFNA(IF(INDEX(Producer!$P:$P,MATCH($D297,Producer!$A:$A,0))="Help to Buy","Only available","No"),"")</f>
        <v/>
      </c>
      <c r="CD297" s="146" t="str">
        <f>_xlfn.IFNA(IF(INDEX(Producer!$P:$P,MATCH($D297,Producer!$A:$A,0))="Shared Ownership","Only available","No"),"")</f>
        <v/>
      </c>
      <c r="CE297" s="146" t="str">
        <f>_xlfn.IFNA(IF(INDEX(Producer!$P:$P,MATCH($D297,Producer!$A:$A,0))="Right to Buy","Only available","No"),"")</f>
        <v/>
      </c>
      <c r="CF297" s="146" t="str">
        <f t="shared" si="128"/>
        <v/>
      </c>
      <c r="CG297" s="146" t="str">
        <f>_xlfn.IFNA(IF(INDEX(Producer!$P:$P,MATCH($D297,Producer!$A:$A,0))="Retirement Interest Only","Only available","No"),"")</f>
        <v/>
      </c>
      <c r="CH297" s="146" t="str">
        <f t="shared" si="129"/>
        <v/>
      </c>
      <c r="CI297" s="146" t="str">
        <f>_xlfn.IFNA(IF(INDEX(Producer!$P:$P,MATCH($D297,Producer!$A:$A,0))="Intermediary Holiday Let","Only available","No"),"")</f>
        <v/>
      </c>
      <c r="CJ297" s="146" t="str">
        <f t="shared" si="130"/>
        <v/>
      </c>
      <c r="CK297" s="146" t="str">
        <f>_xlfn.IFNA(IF(OR(INDEX(Producer!$P:$P,MATCH($D297,Producer!$A:$A,0))="Intermediary Small HMO",INDEX(Producer!$P:$P,MATCH($D297,Producer!$A:$A,0))="Intermediary Large HMO"),"Only available","No"),"")</f>
        <v/>
      </c>
      <c r="CL297" s="146" t="str">
        <f t="shared" si="131"/>
        <v/>
      </c>
      <c r="CM297" s="146" t="str">
        <f t="shared" si="132"/>
        <v/>
      </c>
      <c r="CN297" s="146" t="str">
        <f t="shared" si="133"/>
        <v/>
      </c>
      <c r="CO297" s="146" t="str">
        <f t="shared" si="134"/>
        <v/>
      </c>
      <c r="CP297" s="146" t="str">
        <f t="shared" si="135"/>
        <v/>
      </c>
      <c r="CQ297" s="146" t="str">
        <f t="shared" si="136"/>
        <v/>
      </c>
      <c r="CR297" s="146" t="str">
        <f t="shared" si="137"/>
        <v/>
      </c>
      <c r="CS297" s="146" t="str">
        <f t="shared" si="138"/>
        <v/>
      </c>
      <c r="CT297" s="146" t="str">
        <f t="shared" si="139"/>
        <v/>
      </c>
      <c r="CU297" s="146"/>
    </row>
    <row r="298" spans="1:99" ht="16.399999999999999" customHeight="1" x14ac:dyDescent="0.35">
      <c r="A298" s="145" t="str">
        <f t="shared" si="112"/>
        <v/>
      </c>
      <c r="B298" s="145" t="str">
        <f>_xlfn.IFNA(_xlfn.CONCAT(INDEX(Producer!$P:$P,MATCH($D298,Producer!$A:$A,0))," ",IF(INDEX(Producer!$N:$N,MATCH($D298,Producer!$A:$A,0))="Yes","Green ",""),IF(AND(INDEX(Producer!$L:$L,MATCH($D298,Producer!$A:$A,0))="No",INDEX(Producer!$C:$C,MATCH($D298,Producer!$A:$A,0))="Fixed"),"Flexit ",""),INDEX(Producer!$B:$B,MATCH($D298,Producer!$A:$A,0))," Year ",INDEX(Producer!$C:$C,MATCH($D298,Producer!$A:$A,0))," ",VALUE(INDEX(Producer!$E:$E,MATCH($D298,Producer!$A:$A,0)))*100,"% LTV",IF(INDEX(Producer!$N:$N,MATCH($D298,Producer!$A:$A,0))="Yes"," (EPC A-C)","")," - ",IF(INDEX(Producer!$D:$D,MATCH($D298,Producer!$A:$A,0))="DLY","Daily","Annual")),"")</f>
        <v/>
      </c>
      <c r="C298" s="146" t="str">
        <f>_xlfn.IFNA(INDEX(Producer!$Q:$Q,MATCH($D298,Producer!$A:$A,0)),"")</f>
        <v/>
      </c>
      <c r="D298" s="146" t="str">
        <f>IFERROR(VALUE(MID(Producer!$R$2,IF($D297="",1/0,FIND(_xlfn.CONCAT($D296,$D297),Producer!$R$2)+10),5)),"")</f>
        <v/>
      </c>
      <c r="E298" s="146" t="str">
        <f t="shared" si="113"/>
        <v/>
      </c>
      <c r="F298" s="146"/>
      <c r="G298" s="147" t="str">
        <f>_xlfn.IFNA(VALUE(INDEX(Producer!$F:$F,MATCH($D298,Producer!$A:$A,0)))*100,"")</f>
        <v/>
      </c>
      <c r="H298" s="216" t="str">
        <f>_xlfn.IFNA(IFERROR(DATEVALUE(INDEX(Producer!$M:$M,MATCH($D298,Producer!$A:$A,0))),(INDEX(Producer!$M:$M,MATCH($D298,Producer!$A:$A,0)))),"")</f>
        <v/>
      </c>
      <c r="I298" s="217" t="str">
        <f>_xlfn.IFNA(VALUE(INDEX(Producer!$B:$B,MATCH($D298,Producer!$A:$A,0)))*12,"")</f>
        <v/>
      </c>
      <c r="J298" s="146" t="str">
        <f>_xlfn.IFNA(IF(C298="Residential",IF(VALUE(INDEX(Producer!$B:$B,MATCH($D298,Producer!$A:$A,0)))&lt;5,Constants!$C$10,""),IF(VALUE(INDEX(Producer!$B:$B,MATCH($D298,Producer!$A:$A,0)))&lt;5,Constants!$C$11,"")),"")</f>
        <v/>
      </c>
      <c r="K298" s="216" t="str">
        <f>_xlfn.IFNA(IF(($I298)&lt;60,DATE(YEAR(H298)+(5-VALUE(INDEX(Producer!$B:$B,MATCH($D298,Producer!$A:$A,0)))),MONTH(H298),DAY(H298)),""),"")</f>
        <v/>
      </c>
      <c r="L298" s="153" t="str">
        <f t="shared" si="114"/>
        <v/>
      </c>
      <c r="M298" s="146"/>
      <c r="N298" s="148"/>
      <c r="O298" s="148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  <c r="AA298" s="146"/>
      <c r="AB298" s="146"/>
      <c r="AC298" s="146"/>
      <c r="AD298" s="146"/>
      <c r="AE298" s="146"/>
      <c r="AF298" s="146"/>
      <c r="AG298" s="146"/>
      <c r="AH298" s="146"/>
      <c r="AI298" s="146"/>
      <c r="AJ298" s="146"/>
      <c r="AK298" s="146" t="str">
        <f>IF(D298="","",IF(C298="Residential",Constants!$B$10,Constants!$B$11))</f>
        <v/>
      </c>
      <c r="AL298" s="146" t="str">
        <f t="shared" si="115"/>
        <v/>
      </c>
      <c r="AM298" s="206" t="str">
        <f t="shared" si="116"/>
        <v/>
      </c>
      <c r="AN298" s="146" t="str">
        <f t="shared" si="117"/>
        <v/>
      </c>
      <c r="AO298" s="149" t="str">
        <f t="shared" si="118"/>
        <v/>
      </c>
      <c r="AP298" s="150" t="str">
        <f t="shared" si="119"/>
        <v/>
      </c>
      <c r="AQ298" s="146" t="str">
        <f>IFERROR(_xlfn.IFNA(IF($BA298="No",0,IF(INDEX(Constants!B:B,MATCH(($I298/12),Constants!$A:$A,0))=0,0,INDEX(Constants!B:B,MATCH(($I298/12),Constants!$A:$A,0)))),0),"")</f>
        <v/>
      </c>
      <c r="AR298" s="146" t="str">
        <f>IFERROR(_xlfn.IFNA(IF($BA298="No",0,IF(INDEX(Constants!C:C,MATCH(($I298/12),Constants!$A:$A,0))=0,0,INDEX(Constants!C:C,MATCH(($I298/12),Constants!$A:$A,0)))),0),"")</f>
        <v/>
      </c>
      <c r="AS298" s="146" t="str">
        <f>IFERROR(_xlfn.IFNA(IF($BA298="No",0,IF(INDEX(Constants!D:D,MATCH(($I298/12),Constants!$A:$A,0))=0,0,INDEX(Constants!D:D,MATCH(($I298/12),Constants!$A:$A,0)))),0),"")</f>
        <v/>
      </c>
      <c r="AT298" s="146" t="str">
        <f>IFERROR(_xlfn.IFNA(IF($BA298="No",0,IF(INDEX(Constants!E:E,MATCH(($I298/12),Constants!$A:$A,0))=0,0,INDEX(Constants!E:E,MATCH(($I298/12),Constants!$A:$A,0)))),0),"")</f>
        <v/>
      </c>
      <c r="AU298" s="146" t="str">
        <f>IFERROR(_xlfn.IFNA(IF($BA298="No",0,IF(INDEX(Constants!F:F,MATCH(($I298/12),Constants!$A:$A,0))=0,0,INDEX(Constants!F:F,MATCH(($I298/12),Constants!$A:$A,0)))),0),"")</f>
        <v/>
      </c>
      <c r="AV298" s="146" t="str">
        <f>IFERROR(_xlfn.IFNA(IF($BA298="No",0,IF(INDEX(Constants!G:G,MATCH(($I298/12),Constants!$A:$A,0))=0,0,INDEX(Constants!G:G,MATCH(($I298/12),Constants!$A:$A,0)))),0),"")</f>
        <v/>
      </c>
      <c r="AW298" s="146" t="str">
        <f>IFERROR(_xlfn.IFNA(IF($BA298="No",0,IF(INDEX(Constants!H:H,MATCH(($I298/12),Constants!$A:$A,0))=0,0,INDEX(Constants!H:H,MATCH(($I298/12),Constants!$A:$A,0)))),0),"")</f>
        <v/>
      </c>
      <c r="AX298" s="146" t="str">
        <f>IFERROR(_xlfn.IFNA(IF($BA298="No",0,IF(INDEX(Constants!I:I,MATCH(($I298/12),Constants!$A:$A,0))=0,0,INDEX(Constants!I:I,MATCH(($I298/12),Constants!$A:$A,0)))),0),"")</f>
        <v/>
      </c>
      <c r="AY298" s="146" t="str">
        <f>IFERROR(_xlfn.IFNA(IF($BA298="No",0,IF(INDEX(Constants!J:J,MATCH(($I298/12),Constants!$A:$A,0))=0,0,INDEX(Constants!J:J,MATCH(($I298/12),Constants!$A:$A,0)))),0),"")</f>
        <v/>
      </c>
      <c r="AZ298" s="146" t="str">
        <f>IFERROR(_xlfn.IFNA(IF($BA298="No",0,IF(INDEX(Constants!K:K,MATCH(($I298/12),Constants!$A:$A,0))=0,0,INDEX(Constants!K:K,MATCH(($I298/12),Constants!$A:$A,0)))),0),"")</f>
        <v/>
      </c>
      <c r="BA298" s="147" t="str">
        <f>_xlfn.IFNA(INDEX(Producer!$L:$L,MATCH($D298,Producer!$A:$A,0)),"")</f>
        <v/>
      </c>
      <c r="BB298" s="146" t="str">
        <f>IFERROR(IF(AQ298=0,"",IF(($I298/12)=15,_xlfn.CONCAT(Constants!$N$7,TEXT(DATE(YEAR(H298)-(($I298/12)-3),MONTH(H298),DAY(H298)),"dd/mm/yyyy"),", ",Constants!$P$7,TEXT(DATE(YEAR(H298)-(($I298/12)-8),MONTH(H298),DAY(H298)),"dd/mm/yyyy"),", ",Constants!$T$7,TEXT(DATE(YEAR(H298)-(($I298/12)-11),MONTH(H298),DAY(H298)),"dd/mm/yyyy"),", ",Constants!$V$7,TEXT(DATE(YEAR(H298)-(($I298/12)-13),MONTH(H298),DAY(H298)),"dd/mm/yyyy"),", ",Constants!$W$7,TEXT($H298,"dd/mm/yyyy")),IF(($I298/12)=10,_xlfn.CONCAT(Constants!$N$6,TEXT(DATE(YEAR(H298)-(($I298/12)-2),MONTH(H298),DAY(H298)),"dd/mm/yyyy"),", ",Constants!$P$6,TEXT(DATE(YEAR(H298)-(($I298/12)-6),MONTH(H298),DAY(H298)),"dd/mm/yyyy"),", ",Constants!$T$6,TEXT(DATE(YEAR(H298)-(($I298/12)-8),MONTH(H298),DAY(H298)),"dd/mm/yyyy"),", ",Constants!$V$6,TEXT(DATE(YEAR(H298)-(($I298/12)-9),MONTH(H298),DAY(H298)),"dd/mm/yyyy"),", ",Constants!$W$6,TEXT($H298,"dd/mm/yyyy")),IF(($I298/12)=5,_xlfn.CONCAT(Constants!$N$5,TEXT(DATE(YEAR(H298)-(($I298/12)-1),MONTH(H298),DAY(H298)),"dd/mm/yyyy"),", ",Constants!$O$5,TEXT(DATE(YEAR(H298)-(($I298/12)-2),MONTH(H298),DAY(H298)),"dd/mm/yyyy"),", ",Constants!$P$5,TEXT(DATE(YEAR(H298)-(($I298/12)-3),MONTH(H298),DAY(H298)),"dd/mm/yyyy"),", ",Constants!$Q$5,TEXT(DATE(YEAR(H298)-(($I298/12)-4),MONTH(H298),DAY(H298)),"dd/mm/yyyy"),", ",Constants!$R$5,TEXT($H298,"dd/mm/yyyy")),IF(($I298/12)=3,_xlfn.CONCAT(Constants!$N$4,TEXT(DATE(YEAR(H298)-(($I298/12)-1),MONTH(H298),DAY(H298)),"dd/mm/yyyy"),", ",Constants!$O$4,TEXT(DATE(YEAR(H298)-(($I298/12)-2),MONTH(H298),DAY(H298)),"dd/mm/yyyy"),", ",Constants!$P$4,TEXT($H298,"dd/mm/yyyy")),IF(($I298/12)=2,_xlfn.CONCAT(Constants!$N$3,TEXT(DATE(YEAR(H298)-(($I298/12)-1),MONTH(H298),DAY(H298)),"dd/mm/yyyy"),", ",Constants!$O$3,TEXT($H298,"dd/mm/yyyy")),IF(($I298/12)=1,_xlfn.CONCAT(Constants!$N$2,TEXT($H298,"dd/mm/yyyy")),"Update Constants"))))))),"")</f>
        <v/>
      </c>
      <c r="BC298" s="147" t="str">
        <f>_xlfn.IFNA(VALUE(INDEX(Producer!$K:$K,MATCH($D298,Producer!$A:$A,0))),"")</f>
        <v/>
      </c>
      <c r="BD298" s="147" t="str">
        <f>_xlfn.IFNA(INDEX(Producer!$I:$I,MATCH($D298,Producer!$A:$A,0)),"")</f>
        <v/>
      </c>
      <c r="BE298" s="147" t="str">
        <f t="shared" si="120"/>
        <v/>
      </c>
      <c r="BF298" s="147"/>
      <c r="BG298" s="147"/>
      <c r="BH298" s="151" t="str">
        <f>_xlfn.IFNA(INDEX(Constants!$B:$B,MATCH(BC298,Constants!A:A,0)),"")</f>
        <v/>
      </c>
      <c r="BI298" s="147" t="str">
        <f>IF(LEFT(B298,15)="Limited Company",Constants!$D$16,IFERROR(_xlfn.IFNA(IF(C298="Residential",IF(BK298&lt;75,INDEX(Constants!$B:$B,MATCH(VALUE(60)/100,Constants!$A:$A,0)),INDEX(Constants!$B:$B,MATCH(VALUE(BK298)/100,Constants!$A:$A,0))),IF(BK298&lt;60,INDEX(Constants!$C:$C,MATCH(VALUE(60)/100,Constants!$A:$A,0)),INDEX(Constants!$C:$C,MATCH(VALUE(BK298)/100,Constants!$A:$A,0)))),""),""))</f>
        <v/>
      </c>
      <c r="BJ298" s="147" t="str">
        <f t="shared" si="121"/>
        <v/>
      </c>
      <c r="BK298" s="147" t="str">
        <f>_xlfn.IFNA(VALUE(INDEX(Producer!$E:$E,MATCH($D298,Producer!$A:$A,0)))*100,"")</f>
        <v/>
      </c>
      <c r="BL298" s="146" t="str">
        <f>_xlfn.IFNA(IF(IFERROR(FIND("Part &amp; Part",B298),-10)&gt;0,"PP",IF(OR(LEFT(B298,25)="Residential Interest Only",INDEX(Producer!$P:$P,MATCH($D298,Producer!$A:$A,0))="IO",INDEX(Producer!$P:$P,MATCH($D298,Producer!$A:$A,0))="Retirement Interest Only"),"IO",IF($C298="BuyToLet","CI, IO","CI"))),"")</f>
        <v/>
      </c>
      <c r="BM298" s="152" t="str">
        <f>_xlfn.IFNA(IF(BL298="IO",100%,IF(AND(INDEX(Producer!$P:$P,MATCH($D298,Producer!$A:$A,0))="Residential Interest Only Part &amp; Part",BK298=75),80%,IF(C298="BuyToLet",100%,IF(BL298="Interest Only",100%,IF(AND(INDEX(Producer!$P:$P,MATCH($D298,Producer!$A:$A,0))="Residential Interest Only Part &amp; Part",BK298=60),100%,""))))),"")</f>
        <v/>
      </c>
      <c r="BN298" s="218" t="str">
        <f>_xlfn.IFNA(IF(VALUE(INDEX(Producer!$H:$H,MATCH($D298,Producer!$A:$A,0)))=0,"",VALUE(INDEX(Producer!$H:$H,MATCH($D298,Producer!$A:$A,0)))),"")</f>
        <v/>
      </c>
      <c r="BO298" s="153"/>
      <c r="BP298" s="153"/>
      <c r="BQ298" s="219" t="str">
        <f t="shared" si="122"/>
        <v/>
      </c>
      <c r="BR298" s="146"/>
      <c r="BS298" s="146"/>
      <c r="BT298" s="146"/>
      <c r="BU298" s="146"/>
      <c r="BV298" s="219" t="str">
        <f t="shared" si="123"/>
        <v/>
      </c>
      <c r="BW298" s="146"/>
      <c r="BX298" s="146"/>
      <c r="BY298" s="146" t="str">
        <f t="shared" si="124"/>
        <v/>
      </c>
      <c r="BZ298" s="146" t="str">
        <f t="shared" si="125"/>
        <v/>
      </c>
      <c r="CA298" s="146" t="str">
        <f t="shared" si="126"/>
        <v/>
      </c>
      <c r="CB298" s="146" t="str">
        <f t="shared" si="127"/>
        <v/>
      </c>
      <c r="CC298" s="146" t="str">
        <f>_xlfn.IFNA(IF(INDEX(Producer!$P:$P,MATCH($D298,Producer!$A:$A,0))="Help to Buy","Only available","No"),"")</f>
        <v/>
      </c>
      <c r="CD298" s="146" t="str">
        <f>_xlfn.IFNA(IF(INDEX(Producer!$P:$P,MATCH($D298,Producer!$A:$A,0))="Shared Ownership","Only available","No"),"")</f>
        <v/>
      </c>
      <c r="CE298" s="146" t="str">
        <f>_xlfn.IFNA(IF(INDEX(Producer!$P:$P,MATCH($D298,Producer!$A:$A,0))="Right to Buy","Only available","No"),"")</f>
        <v/>
      </c>
      <c r="CF298" s="146" t="str">
        <f t="shared" si="128"/>
        <v/>
      </c>
      <c r="CG298" s="146" t="str">
        <f>_xlfn.IFNA(IF(INDEX(Producer!$P:$P,MATCH($D298,Producer!$A:$A,0))="Retirement Interest Only","Only available","No"),"")</f>
        <v/>
      </c>
      <c r="CH298" s="146" t="str">
        <f t="shared" si="129"/>
        <v/>
      </c>
      <c r="CI298" s="146" t="str">
        <f>_xlfn.IFNA(IF(INDEX(Producer!$P:$P,MATCH($D298,Producer!$A:$A,0))="Intermediary Holiday Let","Only available","No"),"")</f>
        <v/>
      </c>
      <c r="CJ298" s="146" t="str">
        <f t="shared" si="130"/>
        <v/>
      </c>
      <c r="CK298" s="146" t="str">
        <f>_xlfn.IFNA(IF(OR(INDEX(Producer!$P:$P,MATCH($D298,Producer!$A:$A,0))="Intermediary Small HMO",INDEX(Producer!$P:$P,MATCH($D298,Producer!$A:$A,0))="Intermediary Large HMO"),"Only available","No"),"")</f>
        <v/>
      </c>
      <c r="CL298" s="146" t="str">
        <f t="shared" si="131"/>
        <v/>
      </c>
      <c r="CM298" s="146" t="str">
        <f t="shared" si="132"/>
        <v/>
      </c>
      <c r="CN298" s="146" t="str">
        <f t="shared" si="133"/>
        <v/>
      </c>
      <c r="CO298" s="146" t="str">
        <f t="shared" si="134"/>
        <v/>
      </c>
      <c r="CP298" s="146" t="str">
        <f t="shared" si="135"/>
        <v/>
      </c>
      <c r="CQ298" s="146" t="str">
        <f t="shared" si="136"/>
        <v/>
      </c>
      <c r="CR298" s="146" t="str">
        <f t="shared" si="137"/>
        <v/>
      </c>
      <c r="CS298" s="146" t="str">
        <f t="shared" si="138"/>
        <v/>
      </c>
      <c r="CT298" s="146" t="str">
        <f t="shared" si="139"/>
        <v/>
      </c>
      <c r="CU298" s="146"/>
    </row>
    <row r="299" spans="1:99" ht="16.399999999999999" customHeight="1" x14ac:dyDescent="0.35">
      <c r="A299" s="145" t="str">
        <f t="shared" si="112"/>
        <v/>
      </c>
      <c r="B299" s="145" t="str">
        <f>_xlfn.IFNA(_xlfn.CONCAT(INDEX(Producer!$P:$P,MATCH($D299,Producer!$A:$A,0))," ",IF(INDEX(Producer!$N:$N,MATCH($D299,Producer!$A:$A,0))="Yes","Green ",""),IF(AND(INDEX(Producer!$L:$L,MATCH($D299,Producer!$A:$A,0))="No",INDEX(Producer!$C:$C,MATCH($D299,Producer!$A:$A,0))="Fixed"),"Flexit ",""),INDEX(Producer!$B:$B,MATCH($D299,Producer!$A:$A,0))," Year ",INDEX(Producer!$C:$C,MATCH($D299,Producer!$A:$A,0))," ",VALUE(INDEX(Producer!$E:$E,MATCH($D299,Producer!$A:$A,0)))*100,"% LTV",IF(INDEX(Producer!$N:$N,MATCH($D299,Producer!$A:$A,0))="Yes"," (EPC A-C)","")," - ",IF(INDEX(Producer!$D:$D,MATCH($D299,Producer!$A:$A,0))="DLY","Daily","Annual")),"")</f>
        <v/>
      </c>
      <c r="C299" s="146" t="str">
        <f>_xlfn.IFNA(INDEX(Producer!$Q:$Q,MATCH($D299,Producer!$A:$A,0)),"")</f>
        <v/>
      </c>
      <c r="D299" s="146" t="str">
        <f>IFERROR(VALUE(MID(Producer!$R$2,IF($D298="",1/0,FIND(_xlfn.CONCAT($D297,$D298),Producer!$R$2)+10),5)),"")</f>
        <v/>
      </c>
      <c r="E299" s="146" t="str">
        <f t="shared" si="113"/>
        <v/>
      </c>
      <c r="F299" s="146"/>
      <c r="G299" s="147" t="str">
        <f>_xlfn.IFNA(VALUE(INDEX(Producer!$F:$F,MATCH($D299,Producer!$A:$A,0)))*100,"")</f>
        <v/>
      </c>
      <c r="H299" s="216" t="str">
        <f>_xlfn.IFNA(IFERROR(DATEVALUE(INDEX(Producer!$M:$M,MATCH($D299,Producer!$A:$A,0))),(INDEX(Producer!$M:$M,MATCH($D299,Producer!$A:$A,0)))),"")</f>
        <v/>
      </c>
      <c r="I299" s="217" t="str">
        <f>_xlfn.IFNA(VALUE(INDEX(Producer!$B:$B,MATCH($D299,Producer!$A:$A,0)))*12,"")</f>
        <v/>
      </c>
      <c r="J299" s="146" t="str">
        <f>_xlfn.IFNA(IF(C299="Residential",IF(VALUE(INDEX(Producer!$B:$B,MATCH($D299,Producer!$A:$A,0)))&lt;5,Constants!$C$10,""),IF(VALUE(INDEX(Producer!$B:$B,MATCH($D299,Producer!$A:$A,0)))&lt;5,Constants!$C$11,"")),"")</f>
        <v/>
      </c>
      <c r="K299" s="216" t="str">
        <f>_xlfn.IFNA(IF(($I299)&lt;60,DATE(YEAR(H299)+(5-VALUE(INDEX(Producer!$B:$B,MATCH($D299,Producer!$A:$A,0)))),MONTH(H299),DAY(H299)),""),"")</f>
        <v/>
      </c>
      <c r="L299" s="153" t="str">
        <f t="shared" si="114"/>
        <v/>
      </c>
      <c r="M299" s="146"/>
      <c r="N299" s="148"/>
      <c r="O299" s="148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D299" s="146"/>
      <c r="AE299" s="146"/>
      <c r="AF299" s="146"/>
      <c r="AG299" s="146"/>
      <c r="AH299" s="146"/>
      <c r="AI299" s="146"/>
      <c r="AJ299" s="146"/>
      <c r="AK299" s="146" t="str">
        <f>IF(D299="","",IF(C299="Residential",Constants!$B$10,Constants!$B$11))</f>
        <v/>
      </c>
      <c r="AL299" s="146" t="str">
        <f t="shared" si="115"/>
        <v/>
      </c>
      <c r="AM299" s="206" t="str">
        <f t="shared" si="116"/>
        <v/>
      </c>
      <c r="AN299" s="146" t="str">
        <f t="shared" si="117"/>
        <v/>
      </c>
      <c r="AO299" s="149" t="str">
        <f t="shared" si="118"/>
        <v/>
      </c>
      <c r="AP299" s="150" t="str">
        <f t="shared" si="119"/>
        <v/>
      </c>
      <c r="AQ299" s="146" t="str">
        <f>IFERROR(_xlfn.IFNA(IF($BA299="No",0,IF(INDEX(Constants!B:B,MATCH(($I299/12),Constants!$A:$A,0))=0,0,INDEX(Constants!B:B,MATCH(($I299/12),Constants!$A:$A,0)))),0),"")</f>
        <v/>
      </c>
      <c r="AR299" s="146" t="str">
        <f>IFERROR(_xlfn.IFNA(IF($BA299="No",0,IF(INDEX(Constants!C:C,MATCH(($I299/12),Constants!$A:$A,0))=0,0,INDEX(Constants!C:C,MATCH(($I299/12),Constants!$A:$A,0)))),0),"")</f>
        <v/>
      </c>
      <c r="AS299" s="146" t="str">
        <f>IFERROR(_xlfn.IFNA(IF($BA299="No",0,IF(INDEX(Constants!D:D,MATCH(($I299/12),Constants!$A:$A,0))=0,0,INDEX(Constants!D:D,MATCH(($I299/12),Constants!$A:$A,0)))),0),"")</f>
        <v/>
      </c>
      <c r="AT299" s="146" t="str">
        <f>IFERROR(_xlfn.IFNA(IF($BA299="No",0,IF(INDEX(Constants!E:E,MATCH(($I299/12),Constants!$A:$A,0))=0,0,INDEX(Constants!E:E,MATCH(($I299/12),Constants!$A:$A,0)))),0),"")</f>
        <v/>
      </c>
      <c r="AU299" s="146" t="str">
        <f>IFERROR(_xlfn.IFNA(IF($BA299="No",0,IF(INDEX(Constants!F:F,MATCH(($I299/12),Constants!$A:$A,0))=0,0,INDEX(Constants!F:F,MATCH(($I299/12),Constants!$A:$A,0)))),0),"")</f>
        <v/>
      </c>
      <c r="AV299" s="146" t="str">
        <f>IFERROR(_xlfn.IFNA(IF($BA299="No",0,IF(INDEX(Constants!G:G,MATCH(($I299/12),Constants!$A:$A,0))=0,0,INDEX(Constants!G:G,MATCH(($I299/12),Constants!$A:$A,0)))),0),"")</f>
        <v/>
      </c>
      <c r="AW299" s="146" t="str">
        <f>IFERROR(_xlfn.IFNA(IF($BA299="No",0,IF(INDEX(Constants!H:H,MATCH(($I299/12),Constants!$A:$A,0))=0,0,INDEX(Constants!H:H,MATCH(($I299/12),Constants!$A:$A,0)))),0),"")</f>
        <v/>
      </c>
      <c r="AX299" s="146" t="str">
        <f>IFERROR(_xlfn.IFNA(IF($BA299="No",0,IF(INDEX(Constants!I:I,MATCH(($I299/12),Constants!$A:$A,0))=0,0,INDEX(Constants!I:I,MATCH(($I299/12),Constants!$A:$A,0)))),0),"")</f>
        <v/>
      </c>
      <c r="AY299" s="146" t="str">
        <f>IFERROR(_xlfn.IFNA(IF($BA299="No",0,IF(INDEX(Constants!J:J,MATCH(($I299/12),Constants!$A:$A,0))=0,0,INDEX(Constants!J:J,MATCH(($I299/12),Constants!$A:$A,0)))),0),"")</f>
        <v/>
      </c>
      <c r="AZ299" s="146" t="str">
        <f>IFERROR(_xlfn.IFNA(IF($BA299="No",0,IF(INDEX(Constants!K:K,MATCH(($I299/12),Constants!$A:$A,0))=0,0,INDEX(Constants!K:K,MATCH(($I299/12),Constants!$A:$A,0)))),0),"")</f>
        <v/>
      </c>
      <c r="BA299" s="147" t="str">
        <f>_xlfn.IFNA(INDEX(Producer!$L:$L,MATCH($D299,Producer!$A:$A,0)),"")</f>
        <v/>
      </c>
      <c r="BB299" s="146" t="str">
        <f>IFERROR(IF(AQ299=0,"",IF(($I299/12)=15,_xlfn.CONCAT(Constants!$N$7,TEXT(DATE(YEAR(H299)-(($I299/12)-3),MONTH(H299),DAY(H299)),"dd/mm/yyyy"),", ",Constants!$P$7,TEXT(DATE(YEAR(H299)-(($I299/12)-8),MONTH(H299),DAY(H299)),"dd/mm/yyyy"),", ",Constants!$T$7,TEXT(DATE(YEAR(H299)-(($I299/12)-11),MONTH(H299),DAY(H299)),"dd/mm/yyyy"),", ",Constants!$V$7,TEXT(DATE(YEAR(H299)-(($I299/12)-13),MONTH(H299),DAY(H299)),"dd/mm/yyyy"),", ",Constants!$W$7,TEXT($H299,"dd/mm/yyyy")),IF(($I299/12)=10,_xlfn.CONCAT(Constants!$N$6,TEXT(DATE(YEAR(H299)-(($I299/12)-2),MONTH(H299),DAY(H299)),"dd/mm/yyyy"),", ",Constants!$P$6,TEXT(DATE(YEAR(H299)-(($I299/12)-6),MONTH(H299),DAY(H299)),"dd/mm/yyyy"),", ",Constants!$T$6,TEXT(DATE(YEAR(H299)-(($I299/12)-8),MONTH(H299),DAY(H299)),"dd/mm/yyyy"),", ",Constants!$V$6,TEXT(DATE(YEAR(H299)-(($I299/12)-9),MONTH(H299),DAY(H299)),"dd/mm/yyyy"),", ",Constants!$W$6,TEXT($H299,"dd/mm/yyyy")),IF(($I299/12)=5,_xlfn.CONCAT(Constants!$N$5,TEXT(DATE(YEAR(H299)-(($I299/12)-1),MONTH(H299),DAY(H299)),"dd/mm/yyyy"),", ",Constants!$O$5,TEXT(DATE(YEAR(H299)-(($I299/12)-2),MONTH(H299),DAY(H299)),"dd/mm/yyyy"),", ",Constants!$P$5,TEXT(DATE(YEAR(H299)-(($I299/12)-3),MONTH(H299),DAY(H299)),"dd/mm/yyyy"),", ",Constants!$Q$5,TEXT(DATE(YEAR(H299)-(($I299/12)-4),MONTH(H299),DAY(H299)),"dd/mm/yyyy"),", ",Constants!$R$5,TEXT($H299,"dd/mm/yyyy")),IF(($I299/12)=3,_xlfn.CONCAT(Constants!$N$4,TEXT(DATE(YEAR(H299)-(($I299/12)-1),MONTH(H299),DAY(H299)),"dd/mm/yyyy"),", ",Constants!$O$4,TEXT(DATE(YEAR(H299)-(($I299/12)-2),MONTH(H299),DAY(H299)),"dd/mm/yyyy"),", ",Constants!$P$4,TEXT($H299,"dd/mm/yyyy")),IF(($I299/12)=2,_xlfn.CONCAT(Constants!$N$3,TEXT(DATE(YEAR(H299)-(($I299/12)-1),MONTH(H299),DAY(H299)),"dd/mm/yyyy"),", ",Constants!$O$3,TEXT($H299,"dd/mm/yyyy")),IF(($I299/12)=1,_xlfn.CONCAT(Constants!$N$2,TEXT($H299,"dd/mm/yyyy")),"Update Constants"))))))),"")</f>
        <v/>
      </c>
      <c r="BC299" s="147" t="str">
        <f>_xlfn.IFNA(VALUE(INDEX(Producer!$K:$K,MATCH($D299,Producer!$A:$A,0))),"")</f>
        <v/>
      </c>
      <c r="BD299" s="147" t="str">
        <f>_xlfn.IFNA(INDEX(Producer!$I:$I,MATCH($D299,Producer!$A:$A,0)),"")</f>
        <v/>
      </c>
      <c r="BE299" s="147" t="str">
        <f t="shared" si="120"/>
        <v/>
      </c>
      <c r="BF299" s="147"/>
      <c r="BG299" s="147"/>
      <c r="BH299" s="151" t="str">
        <f>_xlfn.IFNA(INDEX(Constants!$B:$B,MATCH(BC299,Constants!A:A,0)),"")</f>
        <v/>
      </c>
      <c r="BI299" s="147" t="str">
        <f>IF(LEFT(B299,15)="Limited Company",Constants!$D$16,IFERROR(_xlfn.IFNA(IF(C299="Residential",IF(BK299&lt;75,INDEX(Constants!$B:$B,MATCH(VALUE(60)/100,Constants!$A:$A,0)),INDEX(Constants!$B:$B,MATCH(VALUE(BK299)/100,Constants!$A:$A,0))),IF(BK299&lt;60,INDEX(Constants!$C:$C,MATCH(VALUE(60)/100,Constants!$A:$A,0)),INDEX(Constants!$C:$C,MATCH(VALUE(BK299)/100,Constants!$A:$A,0)))),""),""))</f>
        <v/>
      </c>
      <c r="BJ299" s="147" t="str">
        <f t="shared" si="121"/>
        <v/>
      </c>
      <c r="BK299" s="147" t="str">
        <f>_xlfn.IFNA(VALUE(INDEX(Producer!$E:$E,MATCH($D299,Producer!$A:$A,0)))*100,"")</f>
        <v/>
      </c>
      <c r="BL299" s="146" t="str">
        <f>_xlfn.IFNA(IF(IFERROR(FIND("Part &amp; Part",B299),-10)&gt;0,"PP",IF(OR(LEFT(B299,25)="Residential Interest Only",INDEX(Producer!$P:$P,MATCH($D299,Producer!$A:$A,0))="IO",INDEX(Producer!$P:$P,MATCH($D299,Producer!$A:$A,0))="Retirement Interest Only"),"IO",IF($C299="BuyToLet","CI, IO","CI"))),"")</f>
        <v/>
      </c>
      <c r="BM299" s="152" t="str">
        <f>_xlfn.IFNA(IF(BL299="IO",100%,IF(AND(INDEX(Producer!$P:$P,MATCH($D299,Producer!$A:$A,0))="Residential Interest Only Part &amp; Part",BK299=75),80%,IF(C299="BuyToLet",100%,IF(BL299="Interest Only",100%,IF(AND(INDEX(Producer!$P:$P,MATCH($D299,Producer!$A:$A,0))="Residential Interest Only Part &amp; Part",BK299=60),100%,""))))),"")</f>
        <v/>
      </c>
      <c r="BN299" s="218" t="str">
        <f>_xlfn.IFNA(IF(VALUE(INDEX(Producer!$H:$H,MATCH($D299,Producer!$A:$A,0)))=0,"",VALUE(INDEX(Producer!$H:$H,MATCH($D299,Producer!$A:$A,0)))),"")</f>
        <v/>
      </c>
      <c r="BO299" s="153"/>
      <c r="BP299" s="153"/>
      <c r="BQ299" s="219" t="str">
        <f t="shared" si="122"/>
        <v/>
      </c>
      <c r="BR299" s="146"/>
      <c r="BS299" s="146"/>
      <c r="BT299" s="146"/>
      <c r="BU299" s="146"/>
      <c r="BV299" s="219" t="str">
        <f t="shared" si="123"/>
        <v/>
      </c>
      <c r="BW299" s="146"/>
      <c r="BX299" s="146"/>
      <c r="BY299" s="146" t="str">
        <f t="shared" si="124"/>
        <v/>
      </c>
      <c r="BZ299" s="146" t="str">
        <f t="shared" si="125"/>
        <v/>
      </c>
      <c r="CA299" s="146" t="str">
        <f t="shared" si="126"/>
        <v/>
      </c>
      <c r="CB299" s="146" t="str">
        <f t="shared" si="127"/>
        <v/>
      </c>
      <c r="CC299" s="146" t="str">
        <f>_xlfn.IFNA(IF(INDEX(Producer!$P:$P,MATCH($D299,Producer!$A:$A,0))="Help to Buy","Only available","No"),"")</f>
        <v/>
      </c>
      <c r="CD299" s="146" t="str">
        <f>_xlfn.IFNA(IF(INDEX(Producer!$P:$P,MATCH($D299,Producer!$A:$A,0))="Shared Ownership","Only available","No"),"")</f>
        <v/>
      </c>
      <c r="CE299" s="146" t="str">
        <f>_xlfn.IFNA(IF(INDEX(Producer!$P:$P,MATCH($D299,Producer!$A:$A,0))="Right to Buy","Only available","No"),"")</f>
        <v/>
      </c>
      <c r="CF299" s="146" t="str">
        <f t="shared" si="128"/>
        <v/>
      </c>
      <c r="CG299" s="146" t="str">
        <f>_xlfn.IFNA(IF(INDEX(Producer!$P:$P,MATCH($D299,Producer!$A:$A,0))="Retirement Interest Only","Only available","No"),"")</f>
        <v/>
      </c>
      <c r="CH299" s="146" t="str">
        <f t="shared" si="129"/>
        <v/>
      </c>
      <c r="CI299" s="146" t="str">
        <f>_xlfn.IFNA(IF(INDEX(Producer!$P:$P,MATCH($D299,Producer!$A:$A,0))="Intermediary Holiday Let","Only available","No"),"")</f>
        <v/>
      </c>
      <c r="CJ299" s="146" t="str">
        <f t="shared" si="130"/>
        <v/>
      </c>
      <c r="CK299" s="146" t="str">
        <f>_xlfn.IFNA(IF(OR(INDEX(Producer!$P:$P,MATCH($D299,Producer!$A:$A,0))="Intermediary Small HMO",INDEX(Producer!$P:$P,MATCH($D299,Producer!$A:$A,0))="Intermediary Large HMO"),"Only available","No"),"")</f>
        <v/>
      </c>
      <c r="CL299" s="146" t="str">
        <f t="shared" si="131"/>
        <v/>
      </c>
      <c r="CM299" s="146" t="str">
        <f t="shared" si="132"/>
        <v/>
      </c>
      <c r="CN299" s="146" t="str">
        <f t="shared" si="133"/>
        <v/>
      </c>
      <c r="CO299" s="146" t="str">
        <f t="shared" si="134"/>
        <v/>
      </c>
      <c r="CP299" s="146" t="str">
        <f t="shared" si="135"/>
        <v/>
      </c>
      <c r="CQ299" s="146" t="str">
        <f t="shared" si="136"/>
        <v/>
      </c>
      <c r="CR299" s="146" t="str">
        <f t="shared" si="137"/>
        <v/>
      </c>
      <c r="CS299" s="146" t="str">
        <f t="shared" si="138"/>
        <v/>
      </c>
      <c r="CT299" s="146" t="str">
        <f t="shared" si="139"/>
        <v/>
      </c>
      <c r="CU299" s="146"/>
    </row>
    <row r="300" spans="1:99" ht="16.399999999999999" customHeight="1" x14ac:dyDescent="0.35">
      <c r="A300" s="145" t="str">
        <f t="shared" si="112"/>
        <v/>
      </c>
      <c r="B300" s="145" t="str">
        <f>_xlfn.IFNA(_xlfn.CONCAT(INDEX(Producer!$P:$P,MATCH($D300,Producer!$A:$A,0))," ",IF(INDEX(Producer!$N:$N,MATCH($D300,Producer!$A:$A,0))="Yes","Green ",""),IF(AND(INDEX(Producer!$L:$L,MATCH($D300,Producer!$A:$A,0))="No",INDEX(Producer!$C:$C,MATCH($D300,Producer!$A:$A,0))="Fixed"),"Flexit ",""),INDEX(Producer!$B:$B,MATCH($D300,Producer!$A:$A,0))," Year ",INDEX(Producer!$C:$C,MATCH($D300,Producer!$A:$A,0))," ",VALUE(INDEX(Producer!$E:$E,MATCH($D300,Producer!$A:$A,0)))*100,"% LTV",IF(INDEX(Producer!$N:$N,MATCH($D300,Producer!$A:$A,0))="Yes"," (EPC A-C)","")," - ",IF(INDEX(Producer!$D:$D,MATCH($D300,Producer!$A:$A,0))="DLY","Daily","Annual")),"")</f>
        <v/>
      </c>
      <c r="C300" s="146" t="str">
        <f>_xlfn.IFNA(INDEX(Producer!$Q:$Q,MATCH($D300,Producer!$A:$A,0)),"")</f>
        <v/>
      </c>
      <c r="D300" s="146" t="str">
        <f>IFERROR(VALUE(MID(Producer!$R$2,IF($D299="",1/0,FIND(_xlfn.CONCAT($D298,$D299),Producer!$R$2)+10),5)),"")</f>
        <v/>
      </c>
      <c r="E300" s="146" t="str">
        <f t="shared" si="113"/>
        <v/>
      </c>
      <c r="F300" s="146"/>
      <c r="G300" s="147" t="str">
        <f>_xlfn.IFNA(VALUE(INDEX(Producer!$F:$F,MATCH($D300,Producer!$A:$A,0)))*100,"")</f>
        <v/>
      </c>
      <c r="H300" s="216" t="str">
        <f>_xlfn.IFNA(IFERROR(DATEVALUE(INDEX(Producer!$M:$M,MATCH($D300,Producer!$A:$A,0))),(INDEX(Producer!$M:$M,MATCH($D300,Producer!$A:$A,0)))),"")</f>
        <v/>
      </c>
      <c r="I300" s="217" t="str">
        <f>_xlfn.IFNA(VALUE(INDEX(Producer!$B:$B,MATCH($D300,Producer!$A:$A,0)))*12,"")</f>
        <v/>
      </c>
      <c r="J300" s="146" t="str">
        <f>_xlfn.IFNA(IF(C300="Residential",IF(VALUE(INDEX(Producer!$B:$B,MATCH($D300,Producer!$A:$A,0)))&lt;5,Constants!$C$10,""),IF(VALUE(INDEX(Producer!$B:$B,MATCH($D300,Producer!$A:$A,0)))&lt;5,Constants!$C$11,"")),"")</f>
        <v/>
      </c>
      <c r="K300" s="216" t="str">
        <f>_xlfn.IFNA(IF(($I300)&lt;60,DATE(YEAR(H300)+(5-VALUE(INDEX(Producer!$B:$B,MATCH($D300,Producer!$A:$A,0)))),MONTH(H300),DAY(H300)),""),"")</f>
        <v/>
      </c>
      <c r="L300" s="153" t="str">
        <f t="shared" si="114"/>
        <v/>
      </c>
      <c r="M300" s="146"/>
      <c r="N300" s="148"/>
      <c r="O300" s="148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D300" s="146"/>
      <c r="AE300" s="146"/>
      <c r="AF300" s="146"/>
      <c r="AG300" s="146"/>
      <c r="AH300" s="146"/>
      <c r="AI300" s="146"/>
      <c r="AJ300" s="146"/>
      <c r="AK300" s="146" t="str">
        <f>IF(D300="","",IF(C300="Residential",Constants!$B$10,Constants!$B$11))</f>
        <v/>
      </c>
      <c r="AL300" s="146" t="str">
        <f t="shared" si="115"/>
        <v/>
      </c>
      <c r="AM300" s="206" t="str">
        <f t="shared" si="116"/>
        <v/>
      </c>
      <c r="AN300" s="146" t="str">
        <f t="shared" si="117"/>
        <v/>
      </c>
      <c r="AO300" s="149" t="str">
        <f t="shared" si="118"/>
        <v/>
      </c>
      <c r="AP300" s="150" t="str">
        <f t="shared" si="119"/>
        <v/>
      </c>
      <c r="AQ300" s="146" t="str">
        <f>IFERROR(_xlfn.IFNA(IF($BA300="No",0,IF(INDEX(Constants!B:B,MATCH(($I300/12),Constants!$A:$A,0))=0,0,INDEX(Constants!B:B,MATCH(($I300/12),Constants!$A:$A,0)))),0),"")</f>
        <v/>
      </c>
      <c r="AR300" s="146" t="str">
        <f>IFERROR(_xlfn.IFNA(IF($BA300="No",0,IF(INDEX(Constants!C:C,MATCH(($I300/12),Constants!$A:$A,0))=0,0,INDEX(Constants!C:C,MATCH(($I300/12),Constants!$A:$A,0)))),0),"")</f>
        <v/>
      </c>
      <c r="AS300" s="146" t="str">
        <f>IFERROR(_xlfn.IFNA(IF($BA300="No",0,IF(INDEX(Constants!D:D,MATCH(($I300/12),Constants!$A:$A,0))=0,0,INDEX(Constants!D:D,MATCH(($I300/12),Constants!$A:$A,0)))),0),"")</f>
        <v/>
      </c>
      <c r="AT300" s="146" t="str">
        <f>IFERROR(_xlfn.IFNA(IF($BA300="No",0,IF(INDEX(Constants!E:E,MATCH(($I300/12),Constants!$A:$A,0))=0,0,INDEX(Constants!E:E,MATCH(($I300/12),Constants!$A:$A,0)))),0),"")</f>
        <v/>
      </c>
      <c r="AU300" s="146" t="str">
        <f>IFERROR(_xlfn.IFNA(IF($BA300="No",0,IF(INDEX(Constants!F:F,MATCH(($I300/12),Constants!$A:$A,0))=0,0,INDEX(Constants!F:F,MATCH(($I300/12),Constants!$A:$A,0)))),0),"")</f>
        <v/>
      </c>
      <c r="AV300" s="146" t="str">
        <f>IFERROR(_xlfn.IFNA(IF($BA300="No",0,IF(INDEX(Constants!G:G,MATCH(($I300/12),Constants!$A:$A,0))=0,0,INDEX(Constants!G:G,MATCH(($I300/12),Constants!$A:$A,0)))),0),"")</f>
        <v/>
      </c>
      <c r="AW300" s="146" t="str">
        <f>IFERROR(_xlfn.IFNA(IF($BA300="No",0,IF(INDEX(Constants!H:H,MATCH(($I300/12),Constants!$A:$A,0))=0,0,INDEX(Constants!H:H,MATCH(($I300/12),Constants!$A:$A,0)))),0),"")</f>
        <v/>
      </c>
      <c r="AX300" s="146" t="str">
        <f>IFERROR(_xlfn.IFNA(IF($BA300="No",0,IF(INDEX(Constants!I:I,MATCH(($I300/12),Constants!$A:$A,0))=0,0,INDEX(Constants!I:I,MATCH(($I300/12),Constants!$A:$A,0)))),0),"")</f>
        <v/>
      </c>
      <c r="AY300" s="146" t="str">
        <f>IFERROR(_xlfn.IFNA(IF($BA300="No",0,IF(INDEX(Constants!J:J,MATCH(($I300/12),Constants!$A:$A,0))=0,0,INDEX(Constants!J:J,MATCH(($I300/12),Constants!$A:$A,0)))),0),"")</f>
        <v/>
      </c>
      <c r="AZ300" s="146" t="str">
        <f>IFERROR(_xlfn.IFNA(IF($BA300="No",0,IF(INDEX(Constants!K:K,MATCH(($I300/12),Constants!$A:$A,0))=0,0,INDEX(Constants!K:K,MATCH(($I300/12),Constants!$A:$A,0)))),0),"")</f>
        <v/>
      </c>
      <c r="BA300" s="147" t="str">
        <f>_xlfn.IFNA(INDEX(Producer!$L:$L,MATCH($D300,Producer!$A:$A,0)),"")</f>
        <v/>
      </c>
      <c r="BB300" s="146" t="str">
        <f>IFERROR(IF(AQ300=0,"",IF(($I300/12)=15,_xlfn.CONCAT(Constants!$N$7,TEXT(DATE(YEAR(H300)-(($I300/12)-3),MONTH(H300),DAY(H300)),"dd/mm/yyyy"),", ",Constants!$P$7,TEXT(DATE(YEAR(H300)-(($I300/12)-8),MONTH(H300),DAY(H300)),"dd/mm/yyyy"),", ",Constants!$T$7,TEXT(DATE(YEAR(H300)-(($I300/12)-11),MONTH(H300),DAY(H300)),"dd/mm/yyyy"),", ",Constants!$V$7,TEXT(DATE(YEAR(H300)-(($I300/12)-13),MONTH(H300),DAY(H300)),"dd/mm/yyyy"),", ",Constants!$W$7,TEXT($H300,"dd/mm/yyyy")),IF(($I300/12)=10,_xlfn.CONCAT(Constants!$N$6,TEXT(DATE(YEAR(H300)-(($I300/12)-2),MONTH(H300),DAY(H300)),"dd/mm/yyyy"),", ",Constants!$P$6,TEXT(DATE(YEAR(H300)-(($I300/12)-6),MONTH(H300),DAY(H300)),"dd/mm/yyyy"),", ",Constants!$T$6,TEXT(DATE(YEAR(H300)-(($I300/12)-8),MONTH(H300),DAY(H300)),"dd/mm/yyyy"),", ",Constants!$V$6,TEXT(DATE(YEAR(H300)-(($I300/12)-9),MONTH(H300),DAY(H300)),"dd/mm/yyyy"),", ",Constants!$W$6,TEXT($H300,"dd/mm/yyyy")),IF(($I300/12)=5,_xlfn.CONCAT(Constants!$N$5,TEXT(DATE(YEAR(H300)-(($I300/12)-1),MONTH(H300),DAY(H300)),"dd/mm/yyyy"),", ",Constants!$O$5,TEXT(DATE(YEAR(H300)-(($I300/12)-2),MONTH(H300),DAY(H300)),"dd/mm/yyyy"),", ",Constants!$P$5,TEXT(DATE(YEAR(H300)-(($I300/12)-3),MONTH(H300),DAY(H300)),"dd/mm/yyyy"),", ",Constants!$Q$5,TEXT(DATE(YEAR(H300)-(($I300/12)-4),MONTH(H300),DAY(H300)),"dd/mm/yyyy"),", ",Constants!$R$5,TEXT($H300,"dd/mm/yyyy")),IF(($I300/12)=3,_xlfn.CONCAT(Constants!$N$4,TEXT(DATE(YEAR(H300)-(($I300/12)-1),MONTH(H300),DAY(H300)),"dd/mm/yyyy"),", ",Constants!$O$4,TEXT(DATE(YEAR(H300)-(($I300/12)-2),MONTH(H300),DAY(H300)),"dd/mm/yyyy"),", ",Constants!$P$4,TEXT($H300,"dd/mm/yyyy")),IF(($I300/12)=2,_xlfn.CONCAT(Constants!$N$3,TEXT(DATE(YEAR(H300)-(($I300/12)-1),MONTH(H300),DAY(H300)),"dd/mm/yyyy"),", ",Constants!$O$3,TEXT($H300,"dd/mm/yyyy")),IF(($I300/12)=1,_xlfn.CONCAT(Constants!$N$2,TEXT($H300,"dd/mm/yyyy")),"Update Constants"))))))),"")</f>
        <v/>
      </c>
      <c r="BC300" s="147" t="str">
        <f>_xlfn.IFNA(VALUE(INDEX(Producer!$K:$K,MATCH($D300,Producer!$A:$A,0))),"")</f>
        <v/>
      </c>
      <c r="BD300" s="147" t="str">
        <f>_xlfn.IFNA(INDEX(Producer!$I:$I,MATCH($D300,Producer!$A:$A,0)),"")</f>
        <v/>
      </c>
      <c r="BE300" s="147" t="str">
        <f t="shared" si="120"/>
        <v/>
      </c>
      <c r="BF300" s="147"/>
      <c r="BG300" s="147"/>
      <c r="BH300" s="151" t="str">
        <f>_xlfn.IFNA(INDEX(Constants!$B:$B,MATCH(BC300,Constants!A:A,0)),"")</f>
        <v/>
      </c>
      <c r="BI300" s="147" t="str">
        <f>IF(LEFT(B300,15)="Limited Company",Constants!$D$16,IFERROR(_xlfn.IFNA(IF(C300="Residential",IF(BK300&lt;75,INDEX(Constants!$B:$B,MATCH(VALUE(60)/100,Constants!$A:$A,0)),INDEX(Constants!$B:$B,MATCH(VALUE(BK300)/100,Constants!$A:$A,0))),IF(BK300&lt;60,INDEX(Constants!$C:$C,MATCH(VALUE(60)/100,Constants!$A:$A,0)),INDEX(Constants!$C:$C,MATCH(VALUE(BK300)/100,Constants!$A:$A,0)))),""),""))</f>
        <v/>
      </c>
      <c r="BJ300" s="147" t="str">
        <f t="shared" si="121"/>
        <v/>
      </c>
      <c r="BK300" s="147" t="str">
        <f>_xlfn.IFNA(VALUE(INDEX(Producer!$E:$E,MATCH($D300,Producer!$A:$A,0)))*100,"")</f>
        <v/>
      </c>
      <c r="BL300" s="146" t="str">
        <f>_xlfn.IFNA(IF(IFERROR(FIND("Part &amp; Part",B300),-10)&gt;0,"PP",IF(OR(LEFT(B300,25)="Residential Interest Only",INDEX(Producer!$P:$P,MATCH($D300,Producer!$A:$A,0))="IO",INDEX(Producer!$P:$P,MATCH($D300,Producer!$A:$A,0))="Retirement Interest Only"),"IO",IF($C300="BuyToLet","CI, IO","CI"))),"")</f>
        <v/>
      </c>
      <c r="BM300" s="152" t="str">
        <f>_xlfn.IFNA(IF(BL300="IO",100%,IF(AND(INDEX(Producer!$P:$P,MATCH($D300,Producer!$A:$A,0))="Residential Interest Only Part &amp; Part",BK300=75),80%,IF(C300="BuyToLet",100%,IF(BL300="Interest Only",100%,IF(AND(INDEX(Producer!$P:$P,MATCH($D300,Producer!$A:$A,0))="Residential Interest Only Part &amp; Part",BK300=60),100%,""))))),"")</f>
        <v/>
      </c>
      <c r="BN300" s="218" t="str">
        <f>_xlfn.IFNA(IF(VALUE(INDEX(Producer!$H:$H,MATCH($D300,Producer!$A:$A,0)))=0,"",VALUE(INDEX(Producer!$H:$H,MATCH($D300,Producer!$A:$A,0)))),"")</f>
        <v/>
      </c>
      <c r="BO300" s="153"/>
      <c r="BP300" s="153"/>
      <c r="BQ300" s="219" t="str">
        <f t="shared" si="122"/>
        <v/>
      </c>
      <c r="BR300" s="146"/>
      <c r="BS300" s="146"/>
      <c r="BT300" s="146"/>
      <c r="BU300" s="146"/>
      <c r="BV300" s="219" t="str">
        <f t="shared" si="123"/>
        <v/>
      </c>
      <c r="BW300" s="146"/>
      <c r="BX300" s="146"/>
      <c r="BY300" s="146" t="str">
        <f t="shared" si="124"/>
        <v/>
      </c>
      <c r="BZ300" s="146" t="str">
        <f t="shared" si="125"/>
        <v/>
      </c>
      <c r="CA300" s="146" t="str">
        <f t="shared" si="126"/>
        <v/>
      </c>
      <c r="CB300" s="146" t="str">
        <f t="shared" si="127"/>
        <v/>
      </c>
      <c r="CC300" s="146" t="str">
        <f>_xlfn.IFNA(IF(INDEX(Producer!$P:$P,MATCH($D300,Producer!$A:$A,0))="Help to Buy","Only available","No"),"")</f>
        <v/>
      </c>
      <c r="CD300" s="146" t="str">
        <f>_xlfn.IFNA(IF(INDEX(Producer!$P:$P,MATCH($D300,Producer!$A:$A,0))="Shared Ownership","Only available","No"),"")</f>
        <v/>
      </c>
      <c r="CE300" s="146" t="str">
        <f>_xlfn.IFNA(IF(INDEX(Producer!$P:$P,MATCH($D300,Producer!$A:$A,0))="Right to Buy","Only available","No"),"")</f>
        <v/>
      </c>
      <c r="CF300" s="146" t="str">
        <f t="shared" si="128"/>
        <v/>
      </c>
      <c r="CG300" s="146" t="str">
        <f>_xlfn.IFNA(IF(INDEX(Producer!$P:$P,MATCH($D300,Producer!$A:$A,0))="Retirement Interest Only","Only available","No"),"")</f>
        <v/>
      </c>
      <c r="CH300" s="146" t="str">
        <f t="shared" si="129"/>
        <v/>
      </c>
      <c r="CI300" s="146" t="str">
        <f>_xlfn.IFNA(IF(INDEX(Producer!$P:$P,MATCH($D300,Producer!$A:$A,0))="Intermediary Holiday Let","Only available","No"),"")</f>
        <v/>
      </c>
      <c r="CJ300" s="146" t="str">
        <f t="shared" si="130"/>
        <v/>
      </c>
      <c r="CK300" s="146" t="str">
        <f>_xlfn.IFNA(IF(OR(INDEX(Producer!$P:$P,MATCH($D300,Producer!$A:$A,0))="Intermediary Small HMO",INDEX(Producer!$P:$P,MATCH($D300,Producer!$A:$A,0))="Intermediary Large HMO"),"Only available","No"),"")</f>
        <v/>
      </c>
      <c r="CL300" s="146" t="str">
        <f t="shared" si="131"/>
        <v/>
      </c>
      <c r="CM300" s="146" t="str">
        <f t="shared" si="132"/>
        <v/>
      </c>
      <c r="CN300" s="146" t="str">
        <f t="shared" si="133"/>
        <v/>
      </c>
      <c r="CO300" s="146" t="str">
        <f t="shared" si="134"/>
        <v/>
      </c>
      <c r="CP300" s="146" t="str">
        <f t="shared" si="135"/>
        <v/>
      </c>
      <c r="CQ300" s="146" t="str">
        <f t="shared" si="136"/>
        <v/>
      </c>
      <c r="CR300" s="146" t="str">
        <f t="shared" si="137"/>
        <v/>
      </c>
      <c r="CS300" s="146" t="str">
        <f t="shared" si="138"/>
        <v/>
      </c>
      <c r="CT300" s="146" t="str">
        <f t="shared" si="139"/>
        <v/>
      </c>
      <c r="CU300" s="146"/>
    </row>
    <row r="301" spans="1:99" ht="16.399999999999999" customHeight="1" x14ac:dyDescent="0.35">
      <c r="A301" s="145"/>
      <c r="B301" s="145"/>
      <c r="C301" s="146"/>
      <c r="D301" s="146"/>
      <c r="E301" s="146"/>
      <c r="F301" s="146"/>
      <c r="G301" s="147"/>
      <c r="H301" s="216"/>
      <c r="I301" s="217"/>
      <c r="J301" s="146"/>
      <c r="K301" s="216"/>
      <c r="L301" s="153"/>
      <c r="M301" s="146"/>
      <c r="N301" s="148"/>
      <c r="O301" s="148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  <c r="AG301" s="146"/>
      <c r="AH301" s="146"/>
      <c r="AI301" s="146"/>
      <c r="AJ301" s="146"/>
      <c r="AK301" s="146"/>
      <c r="AL301" s="146"/>
      <c r="AM301" s="206"/>
      <c r="AN301" s="146"/>
      <c r="AO301" s="149"/>
      <c r="AP301" s="150"/>
      <c r="AQ301" s="146"/>
      <c r="AR301" s="146"/>
      <c r="AS301" s="146"/>
      <c r="AT301" s="146"/>
      <c r="AU301" s="146"/>
      <c r="AV301" s="146"/>
      <c r="AW301" s="146"/>
      <c r="AX301" s="146"/>
      <c r="AY301" s="146"/>
      <c r="AZ301" s="146"/>
      <c r="BA301" s="147"/>
      <c r="BB301" s="146"/>
      <c r="BC301" s="147"/>
      <c r="BD301" s="147"/>
      <c r="BE301" s="147"/>
      <c r="BF301" s="147"/>
      <c r="BG301" s="147"/>
      <c r="BH301" s="151"/>
      <c r="BI301" s="147"/>
      <c r="BJ301" s="147"/>
      <c r="BK301" s="147"/>
      <c r="BL301" s="146"/>
      <c r="BM301" s="152"/>
      <c r="BN301" s="218"/>
      <c r="BO301" s="153"/>
      <c r="BP301" s="153"/>
      <c r="BQ301" s="219"/>
      <c r="BR301" s="146"/>
      <c r="BS301" s="146"/>
      <c r="BT301" s="146"/>
      <c r="BU301" s="146"/>
      <c r="BV301" s="219"/>
      <c r="BW301" s="146"/>
      <c r="BX301" s="146"/>
      <c r="BY301" s="146"/>
      <c r="BZ301" s="146"/>
      <c r="CA301" s="146"/>
      <c r="CB301" s="146"/>
      <c r="CC301" s="146"/>
      <c r="CD301" s="146"/>
      <c r="CE301" s="146"/>
      <c r="CF301" s="146"/>
      <c r="CG301" s="146"/>
      <c r="CH301" s="146"/>
      <c r="CI301" s="146"/>
      <c r="CJ301" s="146"/>
      <c r="CK301" s="146"/>
      <c r="CL301" s="146"/>
      <c r="CM301" s="146"/>
      <c r="CN301" s="146"/>
      <c r="CO301" s="146"/>
      <c r="CP301" s="146"/>
      <c r="CQ301" s="146"/>
      <c r="CR301" s="146"/>
      <c r="CS301" s="146"/>
      <c r="CT301" s="146"/>
      <c r="CU301" s="146"/>
    </row>
    <row r="302" spans="1:99" ht="16.399999999999999" customHeight="1" x14ac:dyDescent="0.35">
      <c r="A302" s="145"/>
      <c r="B302" s="145"/>
      <c r="C302" s="146"/>
      <c r="D302" s="146"/>
      <c r="E302" s="146"/>
      <c r="F302" s="146"/>
      <c r="G302" s="147"/>
      <c r="H302" s="216"/>
      <c r="I302" s="217"/>
      <c r="J302" s="146"/>
      <c r="K302" s="216"/>
      <c r="L302" s="153"/>
      <c r="M302" s="146"/>
      <c r="N302" s="148"/>
      <c r="O302" s="148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  <c r="AB302" s="146"/>
      <c r="AC302" s="146"/>
      <c r="AD302" s="146"/>
      <c r="AE302" s="146"/>
      <c r="AF302" s="146"/>
      <c r="AG302" s="146"/>
      <c r="AH302" s="146"/>
      <c r="AI302" s="146"/>
      <c r="AJ302" s="146"/>
      <c r="AK302" s="146"/>
      <c r="AL302" s="146"/>
      <c r="AM302" s="206"/>
      <c r="AN302" s="146"/>
      <c r="AO302" s="149"/>
      <c r="AP302" s="150"/>
      <c r="AQ302" s="146"/>
      <c r="AR302" s="146"/>
      <c r="AS302" s="146"/>
      <c r="AT302" s="146"/>
      <c r="AU302" s="146"/>
      <c r="AV302" s="146"/>
      <c r="AW302" s="146"/>
      <c r="AX302" s="146"/>
      <c r="AY302" s="146"/>
      <c r="AZ302" s="146"/>
      <c r="BA302" s="147"/>
      <c r="BB302" s="146"/>
      <c r="BC302" s="147"/>
      <c r="BD302" s="147"/>
      <c r="BE302" s="147"/>
      <c r="BF302" s="147"/>
      <c r="BG302" s="147"/>
      <c r="BH302" s="151"/>
      <c r="BI302" s="147"/>
      <c r="BJ302" s="147"/>
      <c r="BK302" s="147"/>
      <c r="BL302" s="146"/>
      <c r="BM302" s="152"/>
      <c r="BN302" s="218"/>
      <c r="BO302" s="153"/>
      <c r="BP302" s="153"/>
      <c r="BQ302" s="219"/>
      <c r="BR302" s="146"/>
      <c r="BS302" s="146"/>
      <c r="BT302" s="146"/>
      <c r="BU302" s="146"/>
      <c r="BV302" s="219"/>
      <c r="BW302" s="146"/>
      <c r="BX302" s="146"/>
      <c r="BY302" s="146"/>
      <c r="BZ302" s="146"/>
      <c r="CA302" s="146"/>
      <c r="CB302" s="146"/>
      <c r="CC302" s="146"/>
      <c r="CD302" s="146"/>
      <c r="CE302" s="146"/>
      <c r="CF302" s="146"/>
      <c r="CG302" s="146"/>
      <c r="CH302" s="146"/>
      <c r="CI302" s="146"/>
      <c r="CJ302" s="146"/>
      <c r="CK302" s="146"/>
      <c r="CL302" s="146"/>
      <c r="CM302" s="146"/>
      <c r="CN302" s="146"/>
      <c r="CO302" s="146"/>
      <c r="CP302" s="146"/>
      <c r="CQ302" s="146"/>
      <c r="CR302" s="146"/>
      <c r="CS302" s="146"/>
      <c r="CT302" s="146"/>
      <c r="CU302" s="146"/>
    </row>
    <row r="303" spans="1:99" ht="16.399999999999999" customHeight="1" x14ac:dyDescent="0.35">
      <c r="A303" s="145"/>
      <c r="B303" s="145"/>
      <c r="C303" s="146"/>
      <c r="D303" s="146"/>
      <c r="E303" s="146"/>
      <c r="F303" s="146"/>
      <c r="G303" s="147"/>
      <c r="H303" s="216"/>
      <c r="I303" s="217"/>
      <c r="J303" s="146"/>
      <c r="K303" s="216"/>
      <c r="L303" s="153"/>
      <c r="M303" s="146"/>
      <c r="N303" s="148"/>
      <c r="O303" s="148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  <c r="AB303" s="146"/>
      <c r="AC303" s="146"/>
      <c r="AD303" s="146"/>
      <c r="AE303" s="146"/>
      <c r="AF303" s="146"/>
      <c r="AG303" s="146"/>
      <c r="AH303" s="146"/>
      <c r="AI303" s="146"/>
      <c r="AJ303" s="146"/>
      <c r="AK303" s="146"/>
      <c r="AL303" s="146"/>
      <c r="AM303" s="206"/>
      <c r="AN303" s="146"/>
      <c r="AO303" s="149"/>
      <c r="AP303" s="150"/>
      <c r="AQ303" s="146"/>
      <c r="AR303" s="146"/>
      <c r="AS303" s="146"/>
      <c r="AT303" s="146"/>
      <c r="AU303" s="146"/>
      <c r="AV303" s="146"/>
      <c r="AW303" s="146"/>
      <c r="AX303" s="146"/>
      <c r="AY303" s="146"/>
      <c r="AZ303" s="146"/>
      <c r="BA303" s="147"/>
      <c r="BB303" s="146"/>
      <c r="BC303" s="147"/>
      <c r="BD303" s="147"/>
      <c r="BE303" s="147"/>
      <c r="BF303" s="147"/>
      <c r="BG303" s="147"/>
      <c r="BH303" s="151"/>
      <c r="BI303" s="147"/>
      <c r="BJ303" s="147"/>
      <c r="BK303" s="147"/>
      <c r="BL303" s="146"/>
      <c r="BM303" s="152"/>
      <c r="BN303" s="218"/>
      <c r="BO303" s="153"/>
      <c r="BP303" s="153"/>
      <c r="BQ303" s="219"/>
      <c r="BR303" s="146"/>
      <c r="BS303" s="146"/>
      <c r="BT303" s="146"/>
      <c r="BU303" s="146"/>
      <c r="BV303" s="219"/>
      <c r="BW303" s="146"/>
      <c r="BX303" s="146"/>
      <c r="BY303" s="146"/>
      <c r="BZ303" s="146"/>
      <c r="CA303" s="146"/>
      <c r="CB303" s="146"/>
      <c r="CC303" s="146"/>
      <c r="CD303" s="146"/>
      <c r="CE303" s="146"/>
      <c r="CF303" s="146"/>
      <c r="CG303" s="146"/>
      <c r="CH303" s="146"/>
      <c r="CI303" s="146"/>
      <c r="CJ303" s="146"/>
      <c r="CK303" s="146"/>
      <c r="CL303" s="146"/>
      <c r="CM303" s="146"/>
      <c r="CN303" s="146"/>
      <c r="CO303" s="146"/>
      <c r="CP303" s="146"/>
      <c r="CQ303" s="146"/>
      <c r="CR303" s="146"/>
      <c r="CS303" s="146"/>
      <c r="CT303" s="146"/>
      <c r="CU303" s="146"/>
    </row>
    <row r="304" spans="1:99" ht="16.399999999999999" customHeight="1" x14ac:dyDescent="0.35">
      <c r="A304" s="145"/>
      <c r="B304" s="145"/>
      <c r="C304" s="146"/>
      <c r="D304" s="146"/>
      <c r="E304" s="146"/>
      <c r="F304" s="146"/>
      <c r="G304" s="147"/>
      <c r="H304" s="216"/>
      <c r="I304" s="217"/>
      <c r="J304" s="146"/>
      <c r="K304" s="216"/>
      <c r="L304" s="153"/>
      <c r="M304" s="146"/>
      <c r="N304" s="148"/>
      <c r="O304" s="148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D304" s="146"/>
      <c r="AE304" s="146"/>
      <c r="AF304" s="146"/>
      <c r="AG304" s="146"/>
      <c r="AH304" s="146"/>
      <c r="AI304" s="146"/>
      <c r="AJ304" s="146"/>
      <c r="AK304" s="146"/>
      <c r="AL304" s="146"/>
      <c r="AM304" s="206"/>
      <c r="AN304" s="146"/>
      <c r="AO304" s="149"/>
      <c r="AP304" s="150"/>
      <c r="AQ304" s="146"/>
      <c r="AR304" s="146"/>
      <c r="AS304" s="146"/>
      <c r="AT304" s="146"/>
      <c r="AU304" s="146"/>
      <c r="AV304" s="146"/>
      <c r="AW304" s="146"/>
      <c r="AX304" s="146"/>
      <c r="AY304" s="146"/>
      <c r="AZ304" s="146"/>
      <c r="BA304" s="147"/>
      <c r="BB304" s="146"/>
      <c r="BC304" s="147"/>
      <c r="BD304" s="147"/>
      <c r="BE304" s="147"/>
      <c r="BF304" s="147"/>
      <c r="BG304" s="147"/>
      <c r="BH304" s="151"/>
      <c r="BI304" s="147"/>
      <c r="BJ304" s="147"/>
      <c r="BK304" s="147"/>
      <c r="BL304" s="146"/>
      <c r="BM304" s="152"/>
      <c r="BN304" s="218"/>
      <c r="BO304" s="153"/>
      <c r="BP304" s="153"/>
      <c r="BQ304" s="219"/>
      <c r="BR304" s="146"/>
      <c r="BS304" s="146"/>
      <c r="BT304" s="146"/>
      <c r="BU304" s="146"/>
      <c r="BV304" s="219"/>
      <c r="BW304" s="146"/>
      <c r="BX304" s="146"/>
      <c r="BY304" s="146"/>
      <c r="BZ304" s="146"/>
      <c r="CA304" s="146"/>
      <c r="CB304" s="146"/>
      <c r="CC304" s="146"/>
      <c r="CD304" s="146"/>
      <c r="CE304" s="146"/>
      <c r="CF304" s="146"/>
      <c r="CG304" s="146"/>
      <c r="CH304" s="146"/>
      <c r="CI304" s="146"/>
      <c r="CJ304" s="146"/>
      <c r="CK304" s="146"/>
      <c r="CL304" s="146"/>
      <c r="CM304" s="146"/>
      <c r="CN304" s="146"/>
      <c r="CO304" s="146"/>
      <c r="CP304" s="146"/>
      <c r="CQ304" s="146"/>
      <c r="CR304" s="146"/>
      <c r="CS304" s="146"/>
      <c r="CT304" s="146"/>
      <c r="CU304" s="146"/>
    </row>
    <row r="305" spans="1:99" ht="16.399999999999999" customHeight="1" x14ac:dyDescent="0.35">
      <c r="A305" s="145"/>
      <c r="B305" s="145"/>
      <c r="C305" s="146"/>
      <c r="D305" s="146"/>
      <c r="E305" s="146"/>
      <c r="F305" s="146"/>
      <c r="G305" s="147"/>
      <c r="H305" s="216"/>
      <c r="I305" s="217"/>
      <c r="J305" s="146"/>
      <c r="K305" s="216"/>
      <c r="L305" s="153"/>
      <c r="M305" s="146"/>
      <c r="N305" s="148"/>
      <c r="O305" s="148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206"/>
      <c r="AN305" s="146"/>
      <c r="AO305" s="149"/>
      <c r="AP305" s="150"/>
      <c r="AQ305" s="146"/>
      <c r="AR305" s="146"/>
      <c r="AS305" s="146"/>
      <c r="AT305" s="146"/>
      <c r="AU305" s="146"/>
      <c r="AV305" s="146"/>
      <c r="AW305" s="146"/>
      <c r="AX305" s="146"/>
      <c r="AY305" s="146"/>
      <c r="AZ305" s="146"/>
      <c r="BA305" s="147"/>
      <c r="BB305" s="146"/>
      <c r="BC305" s="147"/>
      <c r="BD305" s="147"/>
      <c r="BE305" s="147"/>
      <c r="BF305" s="147"/>
      <c r="BG305" s="147"/>
      <c r="BH305" s="151"/>
      <c r="BI305" s="147"/>
      <c r="BJ305" s="147"/>
      <c r="BK305" s="147"/>
      <c r="BL305" s="146"/>
      <c r="BM305" s="152"/>
      <c r="BN305" s="218"/>
      <c r="BO305" s="153"/>
      <c r="BP305" s="153"/>
      <c r="BQ305" s="219"/>
      <c r="BR305" s="146"/>
      <c r="BS305" s="146"/>
      <c r="BT305" s="146"/>
      <c r="BU305" s="146"/>
      <c r="BV305" s="219"/>
      <c r="BW305" s="146"/>
      <c r="BX305" s="146"/>
      <c r="BY305" s="146"/>
      <c r="BZ305" s="146"/>
      <c r="CA305" s="146"/>
      <c r="CB305" s="146"/>
      <c r="CC305" s="146"/>
      <c r="CD305" s="146"/>
      <c r="CE305" s="146"/>
      <c r="CF305" s="146"/>
      <c r="CG305" s="146"/>
      <c r="CH305" s="146"/>
      <c r="CI305" s="146"/>
      <c r="CJ305" s="146"/>
      <c r="CK305" s="146"/>
      <c r="CL305" s="146"/>
      <c r="CM305" s="146"/>
      <c r="CN305" s="146"/>
      <c r="CO305" s="146"/>
      <c r="CP305" s="146"/>
      <c r="CQ305" s="146"/>
      <c r="CR305" s="146"/>
      <c r="CS305" s="146"/>
      <c r="CT305" s="146"/>
      <c r="CU305" s="146"/>
    </row>
    <row r="306" spans="1:99" ht="16.399999999999999" customHeight="1" x14ac:dyDescent="0.35">
      <c r="A306" s="145"/>
      <c r="B306" s="145"/>
      <c r="C306" s="146"/>
      <c r="D306" s="146"/>
      <c r="E306" s="146"/>
      <c r="F306" s="146"/>
      <c r="G306" s="147"/>
      <c r="H306" s="216"/>
      <c r="I306" s="217"/>
      <c r="J306" s="146"/>
      <c r="K306" s="216"/>
      <c r="L306" s="153"/>
      <c r="M306" s="146"/>
      <c r="N306" s="148"/>
      <c r="O306" s="148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  <c r="AG306" s="146"/>
      <c r="AH306" s="146"/>
      <c r="AI306" s="146"/>
      <c r="AJ306" s="146"/>
      <c r="AK306" s="146"/>
      <c r="AL306" s="146"/>
      <c r="AM306" s="206"/>
      <c r="AN306" s="146"/>
      <c r="AO306" s="149"/>
      <c r="AP306" s="150"/>
      <c r="AQ306" s="146"/>
      <c r="AR306" s="146"/>
      <c r="AS306" s="146"/>
      <c r="AT306" s="146"/>
      <c r="AU306" s="146"/>
      <c r="AV306" s="146"/>
      <c r="AW306" s="146"/>
      <c r="AX306" s="146"/>
      <c r="AY306" s="146"/>
      <c r="AZ306" s="146"/>
      <c r="BA306" s="147"/>
      <c r="BB306" s="146"/>
      <c r="BC306" s="147"/>
      <c r="BD306" s="147"/>
      <c r="BE306" s="147"/>
      <c r="BF306" s="147"/>
      <c r="BG306" s="147"/>
      <c r="BH306" s="151"/>
      <c r="BI306" s="147"/>
      <c r="BJ306" s="147"/>
      <c r="BK306" s="147"/>
      <c r="BL306" s="146"/>
      <c r="BM306" s="152"/>
      <c r="BN306" s="218"/>
      <c r="BO306" s="153"/>
      <c r="BP306" s="153"/>
      <c r="BQ306" s="219"/>
      <c r="BR306" s="146"/>
      <c r="BS306" s="146"/>
      <c r="BT306" s="146"/>
      <c r="BU306" s="146"/>
      <c r="BV306" s="219"/>
      <c r="BW306" s="146"/>
      <c r="BX306" s="146"/>
      <c r="BY306" s="146"/>
      <c r="BZ306" s="146"/>
      <c r="CA306" s="146"/>
      <c r="CB306" s="146"/>
      <c r="CC306" s="146"/>
      <c r="CD306" s="146"/>
      <c r="CE306" s="146"/>
      <c r="CF306" s="146"/>
      <c r="CG306" s="146"/>
      <c r="CH306" s="146"/>
      <c r="CI306" s="146"/>
      <c r="CJ306" s="146"/>
      <c r="CK306" s="146"/>
      <c r="CL306" s="146"/>
      <c r="CM306" s="146"/>
      <c r="CN306" s="146"/>
      <c r="CO306" s="146"/>
      <c r="CP306" s="146"/>
      <c r="CQ306" s="146"/>
      <c r="CR306" s="146"/>
      <c r="CS306" s="146"/>
      <c r="CT306" s="146"/>
      <c r="CU306" s="146"/>
    </row>
    <row r="307" spans="1:99" ht="16.399999999999999" customHeight="1" x14ac:dyDescent="0.35">
      <c r="A307" s="145"/>
      <c r="B307" s="145"/>
      <c r="C307" s="146"/>
      <c r="D307" s="146"/>
      <c r="E307" s="146"/>
      <c r="F307" s="146"/>
      <c r="G307" s="147"/>
      <c r="H307" s="216"/>
      <c r="I307" s="217"/>
      <c r="J307" s="146"/>
      <c r="K307" s="216"/>
      <c r="L307" s="153"/>
      <c r="M307" s="146"/>
      <c r="N307" s="148"/>
      <c r="O307" s="148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  <c r="AG307" s="146"/>
      <c r="AH307" s="146"/>
      <c r="AI307" s="146"/>
      <c r="AJ307" s="146"/>
      <c r="AK307" s="146"/>
      <c r="AL307" s="146"/>
      <c r="AM307" s="206"/>
      <c r="AN307" s="146"/>
      <c r="AO307" s="149"/>
      <c r="AP307" s="150"/>
      <c r="AQ307" s="146"/>
      <c r="AR307" s="146"/>
      <c r="AS307" s="146"/>
      <c r="AT307" s="146"/>
      <c r="AU307" s="146"/>
      <c r="AV307" s="146"/>
      <c r="AW307" s="146"/>
      <c r="AX307" s="146"/>
      <c r="AY307" s="146"/>
      <c r="AZ307" s="146"/>
      <c r="BA307" s="147"/>
      <c r="BB307" s="146"/>
      <c r="BC307" s="147"/>
      <c r="BD307" s="147"/>
      <c r="BE307" s="147"/>
      <c r="BF307" s="147"/>
      <c r="BG307" s="147"/>
      <c r="BH307" s="151"/>
      <c r="BI307" s="147"/>
      <c r="BJ307" s="147"/>
      <c r="BK307" s="147"/>
      <c r="BL307" s="146"/>
      <c r="BM307" s="152"/>
      <c r="BN307" s="218"/>
      <c r="BO307" s="153"/>
      <c r="BP307" s="153"/>
      <c r="BQ307" s="219"/>
      <c r="BR307" s="146"/>
      <c r="BS307" s="146"/>
      <c r="BT307" s="146"/>
      <c r="BU307" s="146"/>
      <c r="BV307" s="219"/>
      <c r="BW307" s="146"/>
      <c r="BX307" s="146"/>
      <c r="BY307" s="146"/>
      <c r="BZ307" s="146"/>
      <c r="CA307" s="146"/>
      <c r="CB307" s="146"/>
      <c r="CC307" s="146"/>
      <c r="CD307" s="146"/>
      <c r="CE307" s="146"/>
      <c r="CF307" s="146"/>
      <c r="CG307" s="146"/>
      <c r="CH307" s="146"/>
      <c r="CI307" s="146"/>
      <c r="CJ307" s="146"/>
      <c r="CK307" s="146"/>
      <c r="CL307" s="146"/>
      <c r="CM307" s="146"/>
      <c r="CN307" s="146"/>
      <c r="CO307" s="146"/>
      <c r="CP307" s="146"/>
      <c r="CQ307" s="146"/>
      <c r="CR307" s="146"/>
      <c r="CS307" s="146"/>
      <c r="CT307" s="146"/>
      <c r="CU307" s="146"/>
    </row>
    <row r="308" spans="1:99" ht="16.399999999999999" customHeight="1" x14ac:dyDescent="0.35">
      <c r="A308" s="145"/>
      <c r="B308" s="145"/>
      <c r="C308" s="146"/>
      <c r="D308" s="146"/>
      <c r="E308" s="146"/>
      <c r="F308" s="146"/>
      <c r="G308" s="147"/>
      <c r="H308" s="216"/>
      <c r="I308" s="217"/>
      <c r="J308" s="146"/>
      <c r="K308" s="216"/>
      <c r="L308" s="153"/>
      <c r="M308" s="146"/>
      <c r="N308" s="148"/>
      <c r="O308" s="148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  <c r="AA308" s="146"/>
      <c r="AB308" s="146"/>
      <c r="AC308" s="146"/>
      <c r="AD308" s="146"/>
      <c r="AE308" s="146"/>
      <c r="AF308" s="146"/>
      <c r="AG308" s="146"/>
      <c r="AH308" s="146"/>
      <c r="AI308" s="146"/>
      <c r="AJ308" s="146"/>
      <c r="AK308" s="146"/>
      <c r="AL308" s="146"/>
      <c r="AM308" s="206"/>
      <c r="AN308" s="146"/>
      <c r="AO308" s="149"/>
      <c r="AP308" s="150"/>
      <c r="AQ308" s="146"/>
      <c r="AR308" s="146"/>
      <c r="AS308" s="146"/>
      <c r="AT308" s="146"/>
      <c r="AU308" s="146"/>
      <c r="AV308" s="146"/>
      <c r="AW308" s="146"/>
      <c r="AX308" s="146"/>
      <c r="AY308" s="146"/>
      <c r="AZ308" s="146"/>
      <c r="BA308" s="147"/>
      <c r="BB308" s="146"/>
      <c r="BC308" s="147"/>
      <c r="BD308" s="147"/>
      <c r="BE308" s="147"/>
      <c r="BF308" s="147"/>
      <c r="BG308" s="147"/>
      <c r="BH308" s="151"/>
      <c r="BI308" s="147"/>
      <c r="BJ308" s="147"/>
      <c r="BK308" s="147"/>
      <c r="BL308" s="146"/>
      <c r="BM308" s="152"/>
      <c r="BN308" s="218"/>
      <c r="BO308" s="153"/>
      <c r="BP308" s="153"/>
      <c r="BQ308" s="219"/>
      <c r="BR308" s="146"/>
      <c r="BS308" s="146"/>
      <c r="BT308" s="146"/>
      <c r="BU308" s="146"/>
      <c r="BV308" s="219"/>
      <c r="BW308" s="146"/>
      <c r="BX308" s="146"/>
      <c r="BY308" s="146"/>
      <c r="BZ308" s="146"/>
      <c r="CA308" s="146"/>
      <c r="CB308" s="146"/>
      <c r="CC308" s="146"/>
      <c r="CD308" s="146"/>
      <c r="CE308" s="146"/>
      <c r="CF308" s="146"/>
      <c r="CG308" s="146"/>
      <c r="CH308" s="146"/>
      <c r="CI308" s="146"/>
      <c r="CJ308" s="146"/>
      <c r="CK308" s="146"/>
      <c r="CL308" s="146"/>
      <c r="CM308" s="146"/>
      <c r="CN308" s="146"/>
      <c r="CO308" s="146"/>
      <c r="CP308" s="146"/>
      <c r="CQ308" s="146"/>
      <c r="CR308" s="146"/>
      <c r="CS308" s="146"/>
      <c r="CT308" s="146"/>
      <c r="CU308" s="146"/>
    </row>
    <row r="309" spans="1:99" ht="16.399999999999999" customHeight="1" x14ac:dyDescent="0.35">
      <c r="A309" s="145"/>
      <c r="B309" s="145"/>
      <c r="C309" s="146"/>
      <c r="D309" s="146"/>
      <c r="E309" s="146"/>
      <c r="F309" s="146"/>
      <c r="G309" s="147"/>
      <c r="H309" s="216"/>
      <c r="I309" s="217"/>
      <c r="J309" s="146"/>
      <c r="K309" s="216"/>
      <c r="L309" s="153"/>
      <c r="M309" s="146"/>
      <c r="N309" s="148"/>
      <c r="O309" s="148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206"/>
      <c r="AN309" s="146"/>
      <c r="AO309" s="149"/>
      <c r="AP309" s="150"/>
      <c r="AQ309" s="146"/>
      <c r="AR309" s="146"/>
      <c r="AS309" s="146"/>
      <c r="AT309" s="146"/>
      <c r="AU309" s="146"/>
      <c r="AV309" s="146"/>
      <c r="AW309" s="146"/>
      <c r="AX309" s="146"/>
      <c r="AY309" s="146"/>
      <c r="AZ309" s="146"/>
      <c r="BA309" s="147"/>
      <c r="BB309" s="146"/>
      <c r="BC309" s="147"/>
      <c r="BD309" s="147"/>
      <c r="BE309" s="147"/>
      <c r="BF309" s="147"/>
      <c r="BG309" s="147"/>
      <c r="BH309" s="151"/>
      <c r="BI309" s="147"/>
      <c r="BJ309" s="147"/>
      <c r="BK309" s="147"/>
      <c r="BL309" s="146"/>
      <c r="BM309" s="152"/>
      <c r="BN309" s="218"/>
      <c r="BO309" s="153"/>
      <c r="BP309" s="153"/>
      <c r="BQ309" s="219"/>
      <c r="BR309" s="146"/>
      <c r="BS309" s="146"/>
      <c r="BT309" s="146"/>
      <c r="BU309" s="146"/>
      <c r="BV309" s="219"/>
      <c r="BW309" s="146"/>
      <c r="BX309" s="146"/>
      <c r="BY309" s="146"/>
      <c r="BZ309" s="146"/>
      <c r="CA309" s="146"/>
      <c r="CB309" s="146"/>
      <c r="CC309" s="146"/>
      <c r="CD309" s="146"/>
      <c r="CE309" s="146"/>
      <c r="CF309" s="146"/>
      <c r="CG309" s="146"/>
      <c r="CH309" s="146"/>
      <c r="CI309" s="146"/>
      <c r="CJ309" s="146"/>
      <c r="CK309" s="146"/>
      <c r="CL309" s="146"/>
      <c r="CM309" s="146"/>
      <c r="CN309" s="146"/>
      <c r="CO309" s="146"/>
      <c r="CP309" s="146"/>
      <c r="CQ309" s="146"/>
      <c r="CR309" s="146"/>
      <c r="CS309" s="146"/>
      <c r="CT309" s="146"/>
      <c r="CU309" s="146"/>
    </row>
    <row r="310" spans="1:99" ht="16.399999999999999" customHeight="1" x14ac:dyDescent="0.35">
      <c r="A310" s="145"/>
      <c r="B310" s="145"/>
      <c r="C310" s="146"/>
      <c r="D310" s="146"/>
      <c r="E310" s="146"/>
      <c r="F310" s="146"/>
      <c r="G310" s="147"/>
      <c r="H310" s="216"/>
      <c r="I310" s="217"/>
      <c r="J310" s="146"/>
      <c r="K310" s="216"/>
      <c r="L310" s="153"/>
      <c r="M310" s="146"/>
      <c r="N310" s="148"/>
      <c r="O310" s="148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  <c r="AD310" s="146"/>
      <c r="AE310" s="146"/>
      <c r="AF310" s="146"/>
      <c r="AG310" s="146"/>
      <c r="AH310" s="146"/>
      <c r="AI310" s="146"/>
      <c r="AJ310" s="146"/>
      <c r="AK310" s="146"/>
      <c r="AL310" s="146"/>
      <c r="AM310" s="206"/>
      <c r="AN310" s="146"/>
      <c r="AO310" s="149"/>
      <c r="AP310" s="150"/>
      <c r="AQ310" s="146"/>
      <c r="AR310" s="146"/>
      <c r="AS310" s="146"/>
      <c r="AT310" s="146"/>
      <c r="AU310" s="146"/>
      <c r="AV310" s="146"/>
      <c r="AW310" s="146"/>
      <c r="AX310" s="146"/>
      <c r="AY310" s="146"/>
      <c r="AZ310" s="146"/>
      <c r="BA310" s="147"/>
      <c r="BB310" s="146"/>
      <c r="BC310" s="147"/>
      <c r="BD310" s="147"/>
      <c r="BE310" s="147"/>
      <c r="BF310" s="147"/>
      <c r="BG310" s="147"/>
      <c r="BH310" s="151"/>
      <c r="BI310" s="147"/>
      <c r="BJ310" s="147"/>
      <c r="BK310" s="147"/>
      <c r="BL310" s="146"/>
      <c r="BM310" s="152"/>
      <c r="BN310" s="218"/>
      <c r="BO310" s="153"/>
      <c r="BP310" s="153"/>
      <c r="BQ310" s="219"/>
      <c r="BR310" s="146"/>
      <c r="BS310" s="146"/>
      <c r="BT310" s="146"/>
      <c r="BU310" s="146"/>
      <c r="BV310" s="219"/>
      <c r="BW310" s="146"/>
      <c r="BX310" s="146"/>
      <c r="BY310" s="146"/>
      <c r="BZ310" s="146"/>
      <c r="CA310" s="146"/>
      <c r="CB310" s="146"/>
      <c r="CC310" s="146"/>
      <c r="CD310" s="146"/>
      <c r="CE310" s="146"/>
      <c r="CF310" s="146"/>
      <c r="CG310" s="146"/>
      <c r="CH310" s="146"/>
      <c r="CI310" s="146"/>
      <c r="CJ310" s="146"/>
      <c r="CK310" s="146"/>
      <c r="CL310" s="146"/>
      <c r="CM310" s="146"/>
      <c r="CN310" s="146"/>
      <c r="CO310" s="146"/>
      <c r="CP310" s="146"/>
      <c r="CQ310" s="146"/>
      <c r="CR310" s="146"/>
      <c r="CS310" s="146"/>
      <c r="CT310" s="146"/>
      <c r="CU310" s="146"/>
    </row>
    <row r="311" spans="1:99" ht="16.399999999999999" customHeight="1" x14ac:dyDescent="0.35">
      <c r="A311" s="145"/>
      <c r="B311" s="145"/>
      <c r="C311" s="146"/>
      <c r="D311" s="146"/>
      <c r="E311" s="146"/>
      <c r="F311" s="146"/>
      <c r="G311" s="147"/>
      <c r="H311" s="216"/>
      <c r="I311" s="217"/>
      <c r="J311" s="146"/>
      <c r="K311" s="216"/>
      <c r="L311" s="153"/>
      <c r="M311" s="146"/>
      <c r="N311" s="148"/>
      <c r="O311" s="148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  <c r="AD311" s="146"/>
      <c r="AE311" s="146"/>
      <c r="AF311" s="146"/>
      <c r="AG311" s="146"/>
      <c r="AH311" s="146"/>
      <c r="AI311" s="146"/>
      <c r="AJ311" s="146"/>
      <c r="AK311" s="146"/>
      <c r="AL311" s="146"/>
      <c r="AM311" s="206"/>
      <c r="AN311" s="146"/>
      <c r="AO311" s="149"/>
      <c r="AP311" s="150"/>
      <c r="AQ311" s="146"/>
      <c r="AR311" s="146"/>
      <c r="AS311" s="146"/>
      <c r="AT311" s="146"/>
      <c r="AU311" s="146"/>
      <c r="AV311" s="146"/>
      <c r="AW311" s="146"/>
      <c r="AX311" s="146"/>
      <c r="AY311" s="146"/>
      <c r="AZ311" s="146"/>
      <c r="BA311" s="147"/>
      <c r="BB311" s="146"/>
      <c r="BC311" s="147"/>
      <c r="BD311" s="147"/>
      <c r="BE311" s="147"/>
      <c r="BF311" s="147"/>
      <c r="BG311" s="147"/>
      <c r="BH311" s="151"/>
      <c r="BI311" s="147"/>
      <c r="BJ311" s="147"/>
      <c r="BK311" s="147"/>
      <c r="BL311" s="146"/>
      <c r="BM311" s="152"/>
      <c r="BN311" s="218"/>
      <c r="BO311" s="153"/>
      <c r="BP311" s="153"/>
      <c r="BQ311" s="219"/>
      <c r="BR311" s="146"/>
      <c r="BS311" s="146"/>
      <c r="BT311" s="146"/>
      <c r="BU311" s="146"/>
      <c r="BV311" s="219"/>
      <c r="BW311" s="146"/>
      <c r="BX311" s="146"/>
      <c r="BY311" s="146"/>
      <c r="BZ311" s="146"/>
      <c r="CA311" s="146"/>
      <c r="CB311" s="146"/>
      <c r="CC311" s="146"/>
      <c r="CD311" s="146"/>
      <c r="CE311" s="146"/>
      <c r="CF311" s="146"/>
      <c r="CG311" s="146"/>
      <c r="CH311" s="146"/>
      <c r="CI311" s="146"/>
      <c r="CJ311" s="146"/>
      <c r="CK311" s="146"/>
      <c r="CL311" s="146"/>
      <c r="CM311" s="146"/>
      <c r="CN311" s="146"/>
      <c r="CO311" s="146"/>
      <c r="CP311" s="146"/>
      <c r="CQ311" s="146"/>
      <c r="CR311" s="146"/>
      <c r="CS311" s="146"/>
      <c r="CT311" s="146"/>
      <c r="CU311" s="146"/>
    </row>
    <row r="312" spans="1:99" ht="16.399999999999999" customHeight="1" x14ac:dyDescent="0.35">
      <c r="A312" s="145"/>
      <c r="B312" s="145"/>
      <c r="C312" s="146"/>
      <c r="D312" s="146"/>
      <c r="E312" s="146"/>
      <c r="F312" s="146"/>
      <c r="G312" s="147"/>
      <c r="H312" s="216"/>
      <c r="I312" s="217"/>
      <c r="J312" s="146"/>
      <c r="K312" s="216"/>
      <c r="L312" s="153"/>
      <c r="M312" s="146"/>
      <c r="N312" s="148"/>
      <c r="O312" s="148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  <c r="AD312" s="146"/>
      <c r="AE312" s="146"/>
      <c r="AF312" s="146"/>
      <c r="AG312" s="146"/>
      <c r="AH312" s="146"/>
      <c r="AI312" s="146"/>
      <c r="AJ312" s="146"/>
      <c r="AK312" s="146"/>
      <c r="AL312" s="146"/>
      <c r="AM312" s="206"/>
      <c r="AN312" s="146"/>
      <c r="AO312" s="149"/>
      <c r="AP312" s="150"/>
      <c r="AQ312" s="146"/>
      <c r="AR312" s="146"/>
      <c r="AS312" s="146"/>
      <c r="AT312" s="146"/>
      <c r="AU312" s="146"/>
      <c r="AV312" s="146"/>
      <c r="AW312" s="146"/>
      <c r="AX312" s="146"/>
      <c r="AY312" s="146"/>
      <c r="AZ312" s="146"/>
      <c r="BA312" s="147"/>
      <c r="BB312" s="146"/>
      <c r="BC312" s="147"/>
      <c r="BD312" s="147"/>
      <c r="BE312" s="147"/>
      <c r="BF312" s="147"/>
      <c r="BG312" s="147"/>
      <c r="BH312" s="151"/>
      <c r="BI312" s="147"/>
      <c r="BJ312" s="147"/>
      <c r="BK312" s="147"/>
      <c r="BL312" s="146"/>
      <c r="BM312" s="152"/>
      <c r="BN312" s="218"/>
      <c r="BO312" s="153"/>
      <c r="BP312" s="153"/>
      <c r="BQ312" s="219"/>
      <c r="BR312" s="146"/>
      <c r="BS312" s="146"/>
      <c r="BT312" s="146"/>
      <c r="BU312" s="146"/>
      <c r="BV312" s="219"/>
      <c r="BW312" s="146"/>
      <c r="BX312" s="146"/>
      <c r="BY312" s="146"/>
      <c r="BZ312" s="146"/>
      <c r="CA312" s="146"/>
      <c r="CB312" s="146"/>
      <c r="CC312" s="146"/>
      <c r="CD312" s="146"/>
      <c r="CE312" s="146"/>
      <c r="CF312" s="146"/>
      <c r="CG312" s="146"/>
      <c r="CH312" s="146"/>
      <c r="CI312" s="146"/>
      <c r="CJ312" s="146"/>
      <c r="CK312" s="146"/>
      <c r="CL312" s="146"/>
      <c r="CM312" s="146"/>
      <c r="CN312" s="146"/>
      <c r="CO312" s="146"/>
      <c r="CP312" s="146"/>
      <c r="CQ312" s="146"/>
      <c r="CR312" s="146"/>
      <c r="CS312" s="146"/>
      <c r="CT312" s="146"/>
      <c r="CU312" s="146"/>
    </row>
    <row r="313" spans="1:99" ht="16.399999999999999" customHeight="1" x14ac:dyDescent="0.35">
      <c r="A313" s="145"/>
      <c r="B313" s="145"/>
      <c r="C313" s="146"/>
      <c r="D313" s="146"/>
      <c r="E313" s="146"/>
      <c r="F313" s="146"/>
      <c r="G313" s="147"/>
      <c r="H313" s="216"/>
      <c r="I313" s="217"/>
      <c r="J313" s="146"/>
      <c r="K313" s="216"/>
      <c r="L313" s="153"/>
      <c r="M313" s="146"/>
      <c r="N313" s="148"/>
      <c r="O313" s="148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  <c r="AB313" s="146"/>
      <c r="AC313" s="146"/>
      <c r="AD313" s="146"/>
      <c r="AE313" s="146"/>
      <c r="AF313" s="146"/>
      <c r="AG313" s="146"/>
      <c r="AH313" s="146"/>
      <c r="AI313" s="146"/>
      <c r="AJ313" s="146"/>
      <c r="AK313" s="146"/>
      <c r="AL313" s="146"/>
      <c r="AM313" s="206"/>
      <c r="AN313" s="146"/>
      <c r="AO313" s="149"/>
      <c r="AP313" s="150"/>
      <c r="AQ313" s="146"/>
      <c r="AR313" s="146"/>
      <c r="AS313" s="146"/>
      <c r="AT313" s="146"/>
      <c r="AU313" s="146"/>
      <c r="AV313" s="146"/>
      <c r="AW313" s="146"/>
      <c r="AX313" s="146"/>
      <c r="AY313" s="146"/>
      <c r="AZ313" s="146"/>
      <c r="BA313" s="147"/>
      <c r="BB313" s="146"/>
      <c r="BC313" s="147"/>
      <c r="BD313" s="147"/>
      <c r="BE313" s="147"/>
      <c r="BF313" s="147"/>
      <c r="BG313" s="147"/>
      <c r="BH313" s="151"/>
      <c r="BI313" s="147"/>
      <c r="BJ313" s="147"/>
      <c r="BK313" s="147"/>
      <c r="BL313" s="146"/>
      <c r="BM313" s="152"/>
      <c r="BN313" s="218"/>
      <c r="BO313" s="153"/>
      <c r="BP313" s="153"/>
      <c r="BQ313" s="219"/>
      <c r="BR313" s="146"/>
      <c r="BS313" s="146"/>
      <c r="BT313" s="146"/>
      <c r="BU313" s="146"/>
      <c r="BV313" s="219"/>
      <c r="BW313" s="146"/>
      <c r="BX313" s="146"/>
      <c r="BY313" s="146"/>
      <c r="BZ313" s="146"/>
      <c r="CA313" s="146"/>
      <c r="CB313" s="146"/>
      <c r="CC313" s="146"/>
      <c r="CD313" s="146"/>
      <c r="CE313" s="146"/>
      <c r="CF313" s="146"/>
      <c r="CG313" s="146"/>
      <c r="CH313" s="146"/>
      <c r="CI313" s="146"/>
      <c r="CJ313" s="146"/>
      <c r="CK313" s="146"/>
      <c r="CL313" s="146"/>
      <c r="CM313" s="146"/>
      <c r="CN313" s="146"/>
      <c r="CO313" s="146"/>
      <c r="CP313" s="146"/>
      <c r="CQ313" s="146"/>
      <c r="CR313" s="146"/>
      <c r="CS313" s="146"/>
      <c r="CT313" s="146"/>
      <c r="CU313" s="146"/>
    </row>
    <row r="314" spans="1:99" ht="16.399999999999999" customHeight="1" x14ac:dyDescent="0.35">
      <c r="A314" s="145"/>
      <c r="B314" s="145"/>
      <c r="C314" s="146"/>
      <c r="D314" s="146"/>
      <c r="E314" s="146"/>
      <c r="F314" s="146"/>
      <c r="G314" s="147"/>
      <c r="H314" s="216"/>
      <c r="I314" s="217"/>
      <c r="J314" s="146"/>
      <c r="K314" s="216"/>
      <c r="L314" s="153"/>
      <c r="M314" s="146"/>
      <c r="N314" s="148"/>
      <c r="O314" s="148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  <c r="AD314" s="146"/>
      <c r="AE314" s="146"/>
      <c r="AF314" s="146"/>
      <c r="AG314" s="146"/>
      <c r="AH314" s="146"/>
      <c r="AI314" s="146"/>
      <c r="AJ314" s="146"/>
      <c r="AK314" s="146"/>
      <c r="AL314" s="146"/>
      <c r="AM314" s="206"/>
      <c r="AN314" s="146"/>
      <c r="AO314" s="149"/>
      <c r="AP314" s="150"/>
      <c r="AQ314" s="146"/>
      <c r="AR314" s="146"/>
      <c r="AS314" s="146"/>
      <c r="AT314" s="146"/>
      <c r="AU314" s="146"/>
      <c r="AV314" s="146"/>
      <c r="AW314" s="146"/>
      <c r="AX314" s="146"/>
      <c r="AY314" s="146"/>
      <c r="AZ314" s="146"/>
      <c r="BA314" s="147"/>
      <c r="BB314" s="146"/>
      <c r="BC314" s="147"/>
      <c r="BD314" s="147"/>
      <c r="BE314" s="147"/>
      <c r="BF314" s="147"/>
      <c r="BG314" s="147"/>
      <c r="BH314" s="151"/>
      <c r="BI314" s="147"/>
      <c r="BJ314" s="147"/>
      <c r="BK314" s="147"/>
      <c r="BL314" s="146"/>
      <c r="BM314" s="152"/>
      <c r="BN314" s="218"/>
      <c r="BO314" s="153"/>
      <c r="BP314" s="153"/>
      <c r="BQ314" s="219"/>
      <c r="BR314" s="146"/>
      <c r="BS314" s="146"/>
      <c r="BT314" s="146"/>
      <c r="BU314" s="146"/>
      <c r="BV314" s="219"/>
      <c r="BW314" s="146"/>
      <c r="BX314" s="146"/>
      <c r="BY314" s="146"/>
      <c r="BZ314" s="146"/>
      <c r="CA314" s="146"/>
      <c r="CB314" s="146"/>
      <c r="CC314" s="146"/>
      <c r="CD314" s="146"/>
      <c r="CE314" s="146"/>
      <c r="CF314" s="146"/>
      <c r="CG314" s="146"/>
      <c r="CH314" s="146"/>
      <c r="CI314" s="146"/>
      <c r="CJ314" s="146"/>
      <c r="CK314" s="146"/>
      <c r="CL314" s="146"/>
      <c r="CM314" s="146"/>
      <c r="CN314" s="146"/>
      <c r="CO314" s="146"/>
      <c r="CP314" s="146"/>
      <c r="CQ314" s="146"/>
      <c r="CR314" s="146"/>
      <c r="CS314" s="146"/>
      <c r="CT314" s="146"/>
      <c r="CU314" s="146"/>
    </row>
    <row r="315" spans="1:99" ht="16.399999999999999" customHeight="1" x14ac:dyDescent="0.35">
      <c r="A315" s="145"/>
      <c r="B315" s="145"/>
      <c r="C315" s="146"/>
      <c r="D315" s="146"/>
      <c r="E315" s="146"/>
      <c r="F315" s="146"/>
      <c r="G315" s="147"/>
      <c r="H315" s="216"/>
      <c r="I315" s="217"/>
      <c r="J315" s="146"/>
      <c r="K315" s="216"/>
      <c r="L315" s="153"/>
      <c r="M315" s="146"/>
      <c r="N315" s="148"/>
      <c r="O315" s="148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6"/>
      <c r="AD315" s="146"/>
      <c r="AE315" s="146"/>
      <c r="AF315" s="146"/>
      <c r="AG315" s="146"/>
      <c r="AH315" s="146"/>
      <c r="AI315" s="146"/>
      <c r="AJ315" s="146"/>
      <c r="AK315" s="146"/>
      <c r="AL315" s="146"/>
      <c r="AM315" s="206"/>
      <c r="AN315" s="146"/>
      <c r="AO315" s="149"/>
      <c r="AP315" s="150"/>
      <c r="AQ315" s="146"/>
      <c r="AR315" s="146"/>
      <c r="AS315" s="146"/>
      <c r="AT315" s="146"/>
      <c r="AU315" s="146"/>
      <c r="AV315" s="146"/>
      <c r="AW315" s="146"/>
      <c r="AX315" s="146"/>
      <c r="AY315" s="146"/>
      <c r="AZ315" s="146"/>
      <c r="BA315" s="147"/>
      <c r="BB315" s="146"/>
      <c r="BC315" s="147"/>
      <c r="BD315" s="147"/>
      <c r="BE315" s="147"/>
      <c r="BF315" s="147"/>
      <c r="BG315" s="147"/>
      <c r="BH315" s="151"/>
      <c r="BI315" s="147"/>
      <c r="BJ315" s="147"/>
      <c r="BK315" s="147"/>
      <c r="BL315" s="146"/>
      <c r="BM315" s="152"/>
      <c r="BN315" s="218"/>
      <c r="BO315" s="153"/>
      <c r="BP315" s="153"/>
      <c r="BQ315" s="219"/>
      <c r="BR315" s="146"/>
      <c r="BS315" s="146"/>
      <c r="BT315" s="146"/>
      <c r="BU315" s="146"/>
      <c r="BV315" s="219"/>
      <c r="BW315" s="146"/>
      <c r="BX315" s="146"/>
      <c r="BY315" s="146"/>
      <c r="BZ315" s="146"/>
      <c r="CA315" s="146"/>
      <c r="CB315" s="146"/>
      <c r="CC315" s="146"/>
      <c r="CD315" s="146"/>
      <c r="CE315" s="146"/>
      <c r="CF315" s="146"/>
      <c r="CG315" s="146"/>
      <c r="CH315" s="146"/>
      <c r="CI315" s="146"/>
      <c r="CJ315" s="146"/>
      <c r="CK315" s="146"/>
      <c r="CL315" s="146"/>
      <c r="CM315" s="146"/>
      <c r="CN315" s="146"/>
      <c r="CO315" s="146"/>
      <c r="CP315" s="146"/>
      <c r="CQ315" s="146"/>
      <c r="CR315" s="146"/>
      <c r="CS315" s="146"/>
      <c r="CT315" s="146"/>
      <c r="CU315" s="146"/>
    </row>
    <row r="316" spans="1:99" ht="16.399999999999999" customHeight="1" x14ac:dyDescent="0.35">
      <c r="A316" s="145"/>
      <c r="B316" s="145"/>
      <c r="C316" s="146"/>
      <c r="D316" s="146"/>
      <c r="E316" s="146"/>
      <c r="F316" s="146"/>
      <c r="G316" s="147"/>
      <c r="H316" s="216"/>
      <c r="I316" s="217"/>
      <c r="J316" s="146"/>
      <c r="K316" s="216"/>
      <c r="L316" s="153"/>
      <c r="M316" s="146"/>
      <c r="N316" s="148"/>
      <c r="O316" s="148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  <c r="AB316" s="146"/>
      <c r="AC316" s="146"/>
      <c r="AD316" s="146"/>
      <c r="AE316" s="146"/>
      <c r="AF316" s="146"/>
      <c r="AG316" s="146"/>
      <c r="AH316" s="146"/>
      <c r="AI316" s="146"/>
      <c r="AJ316" s="146"/>
      <c r="AK316" s="146"/>
      <c r="AL316" s="146"/>
      <c r="AM316" s="206"/>
      <c r="AN316" s="146"/>
      <c r="AO316" s="149"/>
      <c r="AP316" s="150"/>
      <c r="AQ316" s="146"/>
      <c r="AR316" s="146"/>
      <c r="AS316" s="146"/>
      <c r="AT316" s="146"/>
      <c r="AU316" s="146"/>
      <c r="AV316" s="146"/>
      <c r="AW316" s="146"/>
      <c r="AX316" s="146"/>
      <c r="AY316" s="146"/>
      <c r="AZ316" s="146"/>
      <c r="BA316" s="147"/>
      <c r="BB316" s="146"/>
      <c r="BC316" s="147"/>
      <c r="BD316" s="147"/>
      <c r="BE316" s="147"/>
      <c r="BF316" s="147"/>
      <c r="BG316" s="147"/>
      <c r="BH316" s="151"/>
      <c r="BI316" s="147"/>
      <c r="BJ316" s="147"/>
      <c r="BK316" s="147"/>
      <c r="BL316" s="146"/>
      <c r="BM316" s="152"/>
      <c r="BN316" s="218"/>
      <c r="BO316" s="153"/>
      <c r="BP316" s="153"/>
      <c r="BQ316" s="219"/>
      <c r="BR316" s="146"/>
      <c r="BS316" s="146"/>
      <c r="BT316" s="146"/>
      <c r="BU316" s="146"/>
      <c r="BV316" s="219"/>
      <c r="BW316" s="146"/>
      <c r="BX316" s="146"/>
      <c r="BY316" s="146"/>
      <c r="BZ316" s="146"/>
      <c r="CA316" s="146"/>
      <c r="CB316" s="146"/>
      <c r="CC316" s="146"/>
      <c r="CD316" s="146"/>
      <c r="CE316" s="146"/>
      <c r="CF316" s="146"/>
      <c r="CG316" s="146"/>
      <c r="CH316" s="146"/>
      <c r="CI316" s="146"/>
      <c r="CJ316" s="146"/>
      <c r="CK316" s="146"/>
      <c r="CL316" s="146"/>
      <c r="CM316" s="146"/>
      <c r="CN316" s="146"/>
      <c r="CO316" s="146"/>
      <c r="CP316" s="146"/>
      <c r="CQ316" s="146"/>
      <c r="CR316" s="146"/>
      <c r="CS316" s="146"/>
      <c r="CT316" s="146"/>
      <c r="CU316" s="146"/>
    </row>
    <row r="317" spans="1:99" ht="16.399999999999999" customHeight="1" x14ac:dyDescent="0.35">
      <c r="A317" s="145"/>
      <c r="B317" s="145"/>
      <c r="C317" s="146"/>
      <c r="D317" s="146"/>
      <c r="E317" s="146"/>
      <c r="F317" s="146"/>
      <c r="G317" s="147"/>
      <c r="H317" s="216"/>
      <c r="I317" s="217"/>
      <c r="J317" s="146"/>
      <c r="K317" s="216"/>
      <c r="L317" s="153"/>
      <c r="M317" s="146"/>
      <c r="N317" s="148"/>
      <c r="O317" s="148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  <c r="AB317" s="146"/>
      <c r="AC317" s="146"/>
      <c r="AD317" s="146"/>
      <c r="AE317" s="146"/>
      <c r="AF317" s="146"/>
      <c r="AG317" s="146"/>
      <c r="AH317" s="146"/>
      <c r="AI317" s="146"/>
      <c r="AJ317" s="146"/>
      <c r="AK317" s="146"/>
      <c r="AL317" s="146"/>
      <c r="AM317" s="206"/>
      <c r="AN317" s="146"/>
      <c r="AO317" s="149"/>
      <c r="AP317" s="150"/>
      <c r="AQ317" s="146"/>
      <c r="AR317" s="146"/>
      <c r="AS317" s="146"/>
      <c r="AT317" s="146"/>
      <c r="AU317" s="146"/>
      <c r="AV317" s="146"/>
      <c r="AW317" s="146"/>
      <c r="AX317" s="146"/>
      <c r="AY317" s="146"/>
      <c r="AZ317" s="146"/>
      <c r="BA317" s="147"/>
      <c r="BB317" s="146"/>
      <c r="BC317" s="147"/>
      <c r="BD317" s="147"/>
      <c r="BE317" s="147"/>
      <c r="BF317" s="147"/>
      <c r="BG317" s="147"/>
      <c r="BH317" s="151"/>
      <c r="BI317" s="147"/>
      <c r="BJ317" s="147"/>
      <c r="BK317" s="147"/>
      <c r="BL317" s="146"/>
      <c r="BM317" s="152"/>
      <c r="BN317" s="218"/>
      <c r="BO317" s="153"/>
      <c r="BP317" s="153"/>
      <c r="BQ317" s="219"/>
      <c r="BR317" s="146"/>
      <c r="BS317" s="146"/>
      <c r="BT317" s="146"/>
      <c r="BU317" s="146"/>
      <c r="BV317" s="219"/>
      <c r="BW317" s="146"/>
      <c r="BX317" s="146"/>
      <c r="BY317" s="146"/>
      <c r="BZ317" s="146"/>
      <c r="CA317" s="146"/>
      <c r="CB317" s="146"/>
      <c r="CC317" s="146"/>
      <c r="CD317" s="146"/>
      <c r="CE317" s="146"/>
      <c r="CF317" s="146"/>
      <c r="CG317" s="146"/>
      <c r="CH317" s="146"/>
      <c r="CI317" s="146"/>
      <c r="CJ317" s="146"/>
      <c r="CK317" s="146"/>
      <c r="CL317" s="146"/>
      <c r="CM317" s="146"/>
      <c r="CN317" s="146"/>
      <c r="CO317" s="146"/>
      <c r="CP317" s="146"/>
      <c r="CQ317" s="146"/>
      <c r="CR317" s="146"/>
      <c r="CS317" s="146"/>
      <c r="CT317" s="146"/>
      <c r="CU317" s="146"/>
    </row>
    <row r="318" spans="1:99" ht="16.399999999999999" customHeight="1" x14ac:dyDescent="0.35">
      <c r="A318" s="145"/>
      <c r="B318" s="145"/>
      <c r="C318" s="146"/>
      <c r="D318" s="146"/>
      <c r="E318" s="146"/>
      <c r="F318" s="146"/>
      <c r="G318" s="147"/>
      <c r="H318" s="216"/>
      <c r="I318" s="217"/>
      <c r="J318" s="146"/>
      <c r="K318" s="216"/>
      <c r="L318" s="153"/>
      <c r="M318" s="146"/>
      <c r="N318" s="148"/>
      <c r="O318" s="148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46"/>
      <c r="AB318" s="146"/>
      <c r="AC318" s="146"/>
      <c r="AD318" s="146"/>
      <c r="AE318" s="146"/>
      <c r="AF318" s="146"/>
      <c r="AG318" s="146"/>
      <c r="AH318" s="146"/>
      <c r="AI318" s="146"/>
      <c r="AJ318" s="146"/>
      <c r="AK318" s="146"/>
      <c r="AL318" s="146"/>
      <c r="AM318" s="206"/>
      <c r="AN318" s="146"/>
      <c r="AO318" s="149"/>
      <c r="AP318" s="150"/>
      <c r="AQ318" s="146"/>
      <c r="AR318" s="146"/>
      <c r="AS318" s="146"/>
      <c r="AT318" s="146"/>
      <c r="AU318" s="146"/>
      <c r="AV318" s="146"/>
      <c r="AW318" s="146"/>
      <c r="AX318" s="146"/>
      <c r="AY318" s="146"/>
      <c r="AZ318" s="146"/>
      <c r="BA318" s="147"/>
      <c r="BB318" s="146"/>
      <c r="BC318" s="147"/>
      <c r="BD318" s="147"/>
      <c r="BE318" s="147"/>
      <c r="BF318" s="147"/>
      <c r="BG318" s="147"/>
      <c r="BH318" s="151"/>
      <c r="BI318" s="147"/>
      <c r="BJ318" s="147"/>
      <c r="BK318" s="147"/>
      <c r="BL318" s="146"/>
      <c r="BM318" s="152"/>
      <c r="BN318" s="218"/>
      <c r="BO318" s="153"/>
      <c r="BP318" s="153"/>
      <c r="BQ318" s="219"/>
      <c r="BR318" s="146"/>
      <c r="BS318" s="146"/>
      <c r="BT318" s="146"/>
      <c r="BU318" s="146"/>
      <c r="BV318" s="219"/>
      <c r="BW318" s="146"/>
      <c r="BX318" s="146"/>
      <c r="BY318" s="146"/>
      <c r="BZ318" s="146"/>
      <c r="CA318" s="146"/>
      <c r="CB318" s="146"/>
      <c r="CC318" s="146"/>
      <c r="CD318" s="146"/>
      <c r="CE318" s="146"/>
      <c r="CF318" s="146"/>
      <c r="CG318" s="146"/>
      <c r="CH318" s="146"/>
      <c r="CI318" s="146"/>
      <c r="CJ318" s="146"/>
      <c r="CK318" s="146"/>
      <c r="CL318" s="146"/>
      <c r="CM318" s="146"/>
      <c r="CN318" s="146"/>
      <c r="CO318" s="146"/>
      <c r="CP318" s="146"/>
      <c r="CQ318" s="146"/>
      <c r="CR318" s="146"/>
      <c r="CS318" s="146"/>
      <c r="CT318" s="146"/>
      <c r="CU318" s="146"/>
    </row>
    <row r="319" spans="1:99" ht="16.399999999999999" customHeight="1" x14ac:dyDescent="0.35">
      <c r="A319" s="145"/>
      <c r="B319" s="145"/>
      <c r="C319" s="146"/>
      <c r="D319" s="146"/>
      <c r="E319" s="146"/>
      <c r="F319" s="146"/>
      <c r="G319" s="147"/>
      <c r="H319" s="216"/>
      <c r="I319" s="217"/>
      <c r="J319" s="146"/>
      <c r="K319" s="216"/>
      <c r="L319" s="153"/>
      <c r="M319" s="146"/>
      <c r="N319" s="148"/>
      <c r="O319" s="148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6"/>
      <c r="AD319" s="146"/>
      <c r="AE319" s="146"/>
      <c r="AF319" s="146"/>
      <c r="AG319" s="146"/>
      <c r="AH319" s="146"/>
      <c r="AI319" s="146"/>
      <c r="AJ319" s="146"/>
      <c r="AK319" s="146"/>
      <c r="AL319" s="146"/>
      <c r="AM319" s="206"/>
      <c r="AN319" s="146"/>
      <c r="AO319" s="149"/>
      <c r="AP319" s="150"/>
      <c r="AQ319" s="146"/>
      <c r="AR319" s="146"/>
      <c r="AS319" s="146"/>
      <c r="AT319" s="146"/>
      <c r="AU319" s="146"/>
      <c r="AV319" s="146"/>
      <c r="AW319" s="146"/>
      <c r="AX319" s="146"/>
      <c r="AY319" s="146"/>
      <c r="AZ319" s="146"/>
      <c r="BA319" s="147"/>
      <c r="BB319" s="146"/>
      <c r="BC319" s="147"/>
      <c r="BD319" s="147"/>
      <c r="BE319" s="147"/>
      <c r="BF319" s="147"/>
      <c r="BG319" s="147"/>
      <c r="BH319" s="151"/>
      <c r="BI319" s="147"/>
      <c r="BJ319" s="147"/>
      <c r="BK319" s="147"/>
      <c r="BL319" s="146"/>
      <c r="BM319" s="152"/>
      <c r="BN319" s="218"/>
      <c r="BO319" s="153"/>
      <c r="BP319" s="153"/>
      <c r="BQ319" s="219"/>
      <c r="BR319" s="146"/>
      <c r="BS319" s="146"/>
      <c r="BT319" s="146"/>
      <c r="BU319" s="146"/>
      <c r="BV319" s="219"/>
      <c r="BW319" s="146"/>
      <c r="BX319" s="146"/>
      <c r="BY319" s="146"/>
      <c r="BZ319" s="146"/>
      <c r="CA319" s="146"/>
      <c r="CB319" s="146"/>
      <c r="CC319" s="146"/>
      <c r="CD319" s="146"/>
      <c r="CE319" s="146"/>
      <c r="CF319" s="146"/>
      <c r="CG319" s="146"/>
      <c r="CH319" s="146"/>
      <c r="CI319" s="146"/>
      <c r="CJ319" s="146"/>
      <c r="CK319" s="146"/>
      <c r="CL319" s="146"/>
      <c r="CM319" s="146"/>
      <c r="CN319" s="146"/>
      <c r="CO319" s="146"/>
      <c r="CP319" s="146"/>
      <c r="CQ319" s="146"/>
      <c r="CR319" s="146"/>
      <c r="CS319" s="146"/>
      <c r="CT319" s="146"/>
      <c r="CU319" s="146"/>
    </row>
    <row r="320" spans="1:99" ht="16.399999999999999" customHeight="1" x14ac:dyDescent="0.35">
      <c r="A320" s="145"/>
      <c r="B320" s="145"/>
      <c r="C320" s="146"/>
      <c r="D320" s="146"/>
      <c r="E320" s="146"/>
      <c r="F320" s="146"/>
      <c r="G320" s="147"/>
      <c r="H320" s="216"/>
      <c r="I320" s="217"/>
      <c r="J320" s="146"/>
      <c r="K320" s="216"/>
      <c r="L320" s="153"/>
      <c r="M320" s="146"/>
      <c r="N320" s="148"/>
      <c r="O320" s="148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  <c r="AA320" s="146"/>
      <c r="AB320" s="146"/>
      <c r="AC320" s="146"/>
      <c r="AD320" s="146"/>
      <c r="AE320" s="146"/>
      <c r="AF320" s="146"/>
      <c r="AG320" s="146"/>
      <c r="AH320" s="146"/>
      <c r="AI320" s="146"/>
      <c r="AJ320" s="146"/>
      <c r="AK320" s="146"/>
      <c r="AL320" s="146"/>
      <c r="AM320" s="206"/>
      <c r="AN320" s="146"/>
      <c r="AO320" s="149"/>
      <c r="AP320" s="150"/>
      <c r="AQ320" s="146"/>
      <c r="AR320" s="146"/>
      <c r="AS320" s="146"/>
      <c r="AT320" s="146"/>
      <c r="AU320" s="146"/>
      <c r="AV320" s="146"/>
      <c r="AW320" s="146"/>
      <c r="AX320" s="146"/>
      <c r="AY320" s="146"/>
      <c r="AZ320" s="146"/>
      <c r="BA320" s="147"/>
      <c r="BB320" s="146"/>
      <c r="BC320" s="147"/>
      <c r="BD320" s="147"/>
      <c r="BE320" s="147"/>
      <c r="BF320" s="147"/>
      <c r="BG320" s="147"/>
      <c r="BH320" s="151"/>
      <c r="BI320" s="147"/>
      <c r="BJ320" s="147"/>
      <c r="BK320" s="147"/>
      <c r="BL320" s="146"/>
      <c r="BM320" s="152"/>
      <c r="BN320" s="218"/>
      <c r="BO320" s="153"/>
      <c r="BP320" s="153"/>
      <c r="BQ320" s="219"/>
      <c r="BR320" s="146"/>
      <c r="BS320" s="146"/>
      <c r="BT320" s="146"/>
      <c r="BU320" s="146"/>
      <c r="BV320" s="219"/>
      <c r="BW320" s="146"/>
      <c r="BX320" s="146"/>
      <c r="BY320" s="146"/>
      <c r="BZ320" s="146"/>
      <c r="CA320" s="146"/>
      <c r="CB320" s="146"/>
      <c r="CC320" s="146"/>
      <c r="CD320" s="146"/>
      <c r="CE320" s="146"/>
      <c r="CF320" s="146"/>
      <c r="CG320" s="146"/>
      <c r="CH320" s="146"/>
      <c r="CI320" s="146"/>
      <c r="CJ320" s="146"/>
      <c r="CK320" s="146"/>
      <c r="CL320" s="146"/>
      <c r="CM320" s="146"/>
      <c r="CN320" s="146"/>
      <c r="CO320" s="146"/>
      <c r="CP320" s="146"/>
      <c r="CQ320" s="146"/>
      <c r="CR320" s="146"/>
      <c r="CS320" s="146"/>
      <c r="CT320" s="146"/>
      <c r="CU320" s="146"/>
    </row>
    <row r="321" spans="1:99" ht="16.399999999999999" customHeight="1" x14ac:dyDescent="0.35">
      <c r="A321" s="145"/>
      <c r="B321" s="145"/>
      <c r="C321" s="146"/>
      <c r="D321" s="146"/>
      <c r="E321" s="146"/>
      <c r="F321" s="146"/>
      <c r="G321" s="147"/>
      <c r="H321" s="216"/>
      <c r="I321" s="217"/>
      <c r="J321" s="146"/>
      <c r="K321" s="216"/>
      <c r="L321" s="153"/>
      <c r="M321" s="146"/>
      <c r="N321" s="148"/>
      <c r="O321" s="148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  <c r="AA321" s="146"/>
      <c r="AB321" s="146"/>
      <c r="AC321" s="146"/>
      <c r="AD321" s="146"/>
      <c r="AE321" s="146"/>
      <c r="AF321" s="146"/>
      <c r="AG321" s="146"/>
      <c r="AH321" s="146"/>
      <c r="AI321" s="146"/>
      <c r="AJ321" s="146"/>
      <c r="AK321" s="146"/>
      <c r="AL321" s="146"/>
      <c r="AM321" s="206"/>
      <c r="AN321" s="146"/>
      <c r="AO321" s="149"/>
      <c r="AP321" s="150"/>
      <c r="AQ321" s="146"/>
      <c r="AR321" s="146"/>
      <c r="AS321" s="146"/>
      <c r="AT321" s="146"/>
      <c r="AU321" s="146"/>
      <c r="AV321" s="146"/>
      <c r="AW321" s="146"/>
      <c r="AX321" s="146"/>
      <c r="AY321" s="146"/>
      <c r="AZ321" s="146"/>
      <c r="BA321" s="147"/>
      <c r="BB321" s="146"/>
      <c r="BC321" s="147"/>
      <c r="BD321" s="147"/>
      <c r="BE321" s="147"/>
      <c r="BF321" s="147"/>
      <c r="BG321" s="147"/>
      <c r="BH321" s="151"/>
      <c r="BI321" s="147"/>
      <c r="BJ321" s="147"/>
      <c r="BK321" s="147"/>
      <c r="BL321" s="146"/>
      <c r="BM321" s="152"/>
      <c r="BN321" s="218"/>
      <c r="BO321" s="153"/>
      <c r="BP321" s="153"/>
      <c r="BQ321" s="219"/>
      <c r="BR321" s="146"/>
      <c r="BS321" s="146"/>
      <c r="BT321" s="146"/>
      <c r="BU321" s="146"/>
      <c r="BV321" s="219"/>
      <c r="BW321" s="146"/>
      <c r="BX321" s="146"/>
      <c r="BY321" s="146"/>
      <c r="BZ321" s="146"/>
      <c r="CA321" s="146"/>
      <c r="CB321" s="146"/>
      <c r="CC321" s="146"/>
      <c r="CD321" s="146"/>
      <c r="CE321" s="146"/>
      <c r="CF321" s="146"/>
      <c r="CG321" s="146"/>
      <c r="CH321" s="146"/>
      <c r="CI321" s="146"/>
      <c r="CJ321" s="146"/>
      <c r="CK321" s="146"/>
      <c r="CL321" s="146"/>
      <c r="CM321" s="146"/>
      <c r="CN321" s="146"/>
      <c r="CO321" s="146"/>
      <c r="CP321" s="146"/>
      <c r="CQ321" s="146"/>
      <c r="CR321" s="146"/>
      <c r="CS321" s="146"/>
      <c r="CT321" s="146"/>
      <c r="CU321" s="146"/>
    </row>
    <row r="322" spans="1:99" ht="16.399999999999999" customHeight="1" x14ac:dyDescent="0.35">
      <c r="A322" s="145"/>
      <c r="B322" s="145"/>
      <c r="C322" s="146"/>
      <c r="D322" s="146"/>
      <c r="E322" s="146"/>
      <c r="F322" s="146"/>
      <c r="G322" s="147"/>
      <c r="H322" s="216"/>
      <c r="I322" s="217"/>
      <c r="J322" s="146"/>
      <c r="K322" s="216"/>
      <c r="L322" s="153"/>
      <c r="M322" s="146"/>
      <c r="N322" s="148"/>
      <c r="O322" s="148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  <c r="AA322" s="146"/>
      <c r="AB322" s="146"/>
      <c r="AC322" s="146"/>
      <c r="AD322" s="146"/>
      <c r="AE322" s="146"/>
      <c r="AF322" s="146"/>
      <c r="AG322" s="146"/>
      <c r="AH322" s="146"/>
      <c r="AI322" s="146"/>
      <c r="AJ322" s="146"/>
      <c r="AK322" s="146"/>
      <c r="AL322" s="146"/>
      <c r="AM322" s="206"/>
      <c r="AN322" s="146"/>
      <c r="AO322" s="149"/>
      <c r="AP322" s="150"/>
      <c r="AQ322" s="146"/>
      <c r="AR322" s="146"/>
      <c r="AS322" s="146"/>
      <c r="AT322" s="146"/>
      <c r="AU322" s="146"/>
      <c r="AV322" s="146"/>
      <c r="AW322" s="146"/>
      <c r="AX322" s="146"/>
      <c r="AY322" s="146"/>
      <c r="AZ322" s="146"/>
      <c r="BA322" s="147"/>
      <c r="BB322" s="146"/>
      <c r="BC322" s="147"/>
      <c r="BD322" s="147"/>
      <c r="BE322" s="147"/>
      <c r="BF322" s="147"/>
      <c r="BG322" s="147"/>
      <c r="BH322" s="151"/>
      <c r="BI322" s="147"/>
      <c r="BJ322" s="147"/>
      <c r="BK322" s="147"/>
      <c r="BL322" s="146"/>
      <c r="BM322" s="152"/>
      <c r="BN322" s="218"/>
      <c r="BO322" s="153"/>
      <c r="BP322" s="153"/>
      <c r="BQ322" s="219"/>
      <c r="BR322" s="146"/>
      <c r="BS322" s="146"/>
      <c r="BT322" s="146"/>
      <c r="BU322" s="146"/>
      <c r="BV322" s="219"/>
      <c r="BW322" s="146"/>
      <c r="BX322" s="146"/>
      <c r="BY322" s="146"/>
      <c r="BZ322" s="146"/>
      <c r="CA322" s="146"/>
      <c r="CB322" s="146"/>
      <c r="CC322" s="146"/>
      <c r="CD322" s="146"/>
      <c r="CE322" s="146"/>
      <c r="CF322" s="146"/>
      <c r="CG322" s="146"/>
      <c r="CH322" s="146"/>
      <c r="CI322" s="146"/>
      <c r="CJ322" s="146"/>
      <c r="CK322" s="146"/>
      <c r="CL322" s="146"/>
      <c r="CM322" s="146"/>
      <c r="CN322" s="146"/>
      <c r="CO322" s="146"/>
      <c r="CP322" s="146"/>
      <c r="CQ322" s="146"/>
      <c r="CR322" s="146"/>
      <c r="CS322" s="146"/>
      <c r="CT322" s="146"/>
      <c r="CU322" s="146"/>
    </row>
    <row r="323" spans="1:99" ht="16.399999999999999" customHeight="1" x14ac:dyDescent="0.35">
      <c r="A323" s="145"/>
      <c r="B323" s="145"/>
      <c r="C323" s="146"/>
      <c r="D323" s="146"/>
      <c r="E323" s="146"/>
      <c r="F323" s="146"/>
      <c r="G323" s="147"/>
      <c r="H323" s="216"/>
      <c r="I323" s="217"/>
      <c r="J323" s="146"/>
      <c r="K323" s="216"/>
      <c r="L323" s="153"/>
      <c r="M323" s="146"/>
      <c r="N323" s="148"/>
      <c r="O323" s="148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6"/>
      <c r="AD323" s="146"/>
      <c r="AE323" s="146"/>
      <c r="AF323" s="146"/>
      <c r="AG323" s="146"/>
      <c r="AH323" s="146"/>
      <c r="AI323" s="146"/>
      <c r="AJ323" s="146"/>
      <c r="AK323" s="146"/>
      <c r="AL323" s="146"/>
      <c r="AM323" s="206"/>
      <c r="AN323" s="146"/>
      <c r="AO323" s="149"/>
      <c r="AP323" s="150"/>
      <c r="AQ323" s="146"/>
      <c r="AR323" s="146"/>
      <c r="AS323" s="146"/>
      <c r="AT323" s="146"/>
      <c r="AU323" s="146"/>
      <c r="AV323" s="146"/>
      <c r="AW323" s="146"/>
      <c r="AX323" s="146"/>
      <c r="AY323" s="146"/>
      <c r="AZ323" s="146"/>
      <c r="BA323" s="147"/>
      <c r="BB323" s="146"/>
      <c r="BC323" s="147"/>
      <c r="BD323" s="147"/>
      <c r="BE323" s="147"/>
      <c r="BF323" s="147"/>
      <c r="BG323" s="147"/>
      <c r="BH323" s="151"/>
      <c r="BI323" s="147"/>
      <c r="BJ323" s="147"/>
      <c r="BK323" s="147"/>
      <c r="BL323" s="146"/>
      <c r="BM323" s="152"/>
      <c r="BN323" s="218"/>
      <c r="BO323" s="153"/>
      <c r="BP323" s="153"/>
      <c r="BQ323" s="219"/>
      <c r="BR323" s="146"/>
      <c r="BS323" s="146"/>
      <c r="BT323" s="146"/>
      <c r="BU323" s="146"/>
      <c r="BV323" s="219"/>
      <c r="BW323" s="146"/>
      <c r="BX323" s="146"/>
      <c r="BY323" s="146"/>
      <c r="BZ323" s="146"/>
      <c r="CA323" s="146"/>
      <c r="CB323" s="146"/>
      <c r="CC323" s="146"/>
      <c r="CD323" s="146"/>
      <c r="CE323" s="146"/>
      <c r="CF323" s="146"/>
      <c r="CG323" s="146"/>
      <c r="CH323" s="146"/>
      <c r="CI323" s="146"/>
      <c r="CJ323" s="146"/>
      <c r="CK323" s="146"/>
      <c r="CL323" s="146"/>
      <c r="CM323" s="146"/>
      <c r="CN323" s="146"/>
      <c r="CO323" s="146"/>
      <c r="CP323" s="146"/>
      <c r="CQ323" s="146"/>
      <c r="CR323" s="146"/>
      <c r="CS323" s="146"/>
      <c r="CT323" s="146"/>
      <c r="CU323" s="146"/>
    </row>
    <row r="324" spans="1:99" ht="16.399999999999999" customHeight="1" x14ac:dyDescent="0.35">
      <c r="A324" s="145"/>
      <c r="B324" s="145"/>
      <c r="C324" s="146"/>
      <c r="D324" s="146"/>
      <c r="E324" s="146"/>
      <c r="F324" s="146"/>
      <c r="G324" s="147"/>
      <c r="H324" s="216"/>
      <c r="I324" s="217"/>
      <c r="J324" s="146"/>
      <c r="K324" s="216"/>
      <c r="L324" s="153"/>
      <c r="M324" s="146"/>
      <c r="N324" s="148"/>
      <c r="O324" s="148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  <c r="AA324" s="146"/>
      <c r="AB324" s="146"/>
      <c r="AC324" s="146"/>
      <c r="AD324" s="146"/>
      <c r="AE324" s="146"/>
      <c r="AF324" s="146"/>
      <c r="AG324" s="146"/>
      <c r="AH324" s="146"/>
      <c r="AI324" s="146"/>
      <c r="AJ324" s="146"/>
      <c r="AK324" s="146"/>
      <c r="AL324" s="146"/>
      <c r="AM324" s="206"/>
      <c r="AN324" s="146"/>
      <c r="AO324" s="149"/>
      <c r="AP324" s="150"/>
      <c r="AQ324" s="146"/>
      <c r="AR324" s="146"/>
      <c r="AS324" s="146"/>
      <c r="AT324" s="146"/>
      <c r="AU324" s="146"/>
      <c r="AV324" s="146"/>
      <c r="AW324" s="146"/>
      <c r="AX324" s="146"/>
      <c r="AY324" s="146"/>
      <c r="AZ324" s="146"/>
      <c r="BA324" s="147"/>
      <c r="BB324" s="146"/>
      <c r="BC324" s="147"/>
      <c r="BD324" s="147"/>
      <c r="BE324" s="147"/>
      <c r="BF324" s="147"/>
      <c r="BG324" s="147"/>
      <c r="BH324" s="151"/>
      <c r="BI324" s="147"/>
      <c r="BJ324" s="147"/>
      <c r="BK324" s="147"/>
      <c r="BL324" s="146"/>
      <c r="BM324" s="152"/>
      <c r="BN324" s="218"/>
      <c r="BO324" s="153"/>
      <c r="BP324" s="153"/>
      <c r="BQ324" s="219"/>
      <c r="BR324" s="146"/>
      <c r="BS324" s="146"/>
      <c r="BT324" s="146"/>
      <c r="BU324" s="146"/>
      <c r="BV324" s="219"/>
      <c r="BW324" s="146"/>
      <c r="BX324" s="146"/>
      <c r="BY324" s="146"/>
      <c r="BZ324" s="146"/>
      <c r="CA324" s="146"/>
      <c r="CB324" s="146"/>
      <c r="CC324" s="146"/>
      <c r="CD324" s="146"/>
      <c r="CE324" s="146"/>
      <c r="CF324" s="146"/>
      <c r="CG324" s="146"/>
      <c r="CH324" s="146"/>
      <c r="CI324" s="146"/>
      <c r="CJ324" s="146"/>
      <c r="CK324" s="146"/>
      <c r="CL324" s="146"/>
      <c r="CM324" s="146"/>
      <c r="CN324" s="146"/>
      <c r="CO324" s="146"/>
      <c r="CP324" s="146"/>
      <c r="CQ324" s="146"/>
      <c r="CR324" s="146"/>
      <c r="CS324" s="146"/>
      <c r="CT324" s="146"/>
      <c r="CU324" s="146"/>
    </row>
    <row r="325" spans="1:99" ht="16.399999999999999" customHeight="1" x14ac:dyDescent="0.35">
      <c r="A325" s="145"/>
      <c r="B325" s="145"/>
      <c r="C325" s="146"/>
      <c r="D325" s="146"/>
      <c r="E325" s="146"/>
      <c r="F325" s="146"/>
      <c r="G325" s="147"/>
      <c r="H325" s="216"/>
      <c r="I325" s="217"/>
      <c r="J325" s="146"/>
      <c r="K325" s="216"/>
      <c r="L325" s="153"/>
      <c r="M325" s="146"/>
      <c r="N325" s="148"/>
      <c r="O325" s="148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  <c r="AA325" s="146"/>
      <c r="AB325" s="146"/>
      <c r="AC325" s="146"/>
      <c r="AD325" s="146"/>
      <c r="AE325" s="146"/>
      <c r="AF325" s="146"/>
      <c r="AG325" s="146"/>
      <c r="AH325" s="146"/>
      <c r="AI325" s="146"/>
      <c r="AJ325" s="146"/>
      <c r="AK325" s="146"/>
      <c r="AL325" s="146"/>
      <c r="AM325" s="206"/>
      <c r="AN325" s="146"/>
      <c r="AO325" s="149"/>
      <c r="AP325" s="150"/>
      <c r="AQ325" s="146"/>
      <c r="AR325" s="146"/>
      <c r="AS325" s="146"/>
      <c r="AT325" s="146"/>
      <c r="AU325" s="146"/>
      <c r="AV325" s="146"/>
      <c r="AW325" s="146"/>
      <c r="AX325" s="146"/>
      <c r="AY325" s="146"/>
      <c r="AZ325" s="146"/>
      <c r="BA325" s="147"/>
      <c r="BB325" s="146"/>
      <c r="BC325" s="147"/>
      <c r="BD325" s="147"/>
      <c r="BE325" s="147"/>
      <c r="BF325" s="147"/>
      <c r="BG325" s="147"/>
      <c r="BH325" s="151"/>
      <c r="BI325" s="147"/>
      <c r="BJ325" s="147"/>
      <c r="BK325" s="147"/>
      <c r="BL325" s="146"/>
      <c r="BM325" s="152"/>
      <c r="BN325" s="218"/>
      <c r="BO325" s="153"/>
      <c r="BP325" s="153"/>
      <c r="BQ325" s="219"/>
      <c r="BR325" s="146"/>
      <c r="BS325" s="146"/>
      <c r="BT325" s="146"/>
      <c r="BU325" s="146"/>
      <c r="BV325" s="219"/>
      <c r="BW325" s="146"/>
      <c r="BX325" s="146"/>
      <c r="BY325" s="146"/>
      <c r="BZ325" s="146"/>
      <c r="CA325" s="146"/>
      <c r="CB325" s="146"/>
      <c r="CC325" s="146"/>
      <c r="CD325" s="146"/>
      <c r="CE325" s="146"/>
      <c r="CF325" s="146"/>
      <c r="CG325" s="146"/>
      <c r="CH325" s="146"/>
      <c r="CI325" s="146"/>
      <c r="CJ325" s="146"/>
      <c r="CK325" s="146"/>
      <c r="CL325" s="146"/>
      <c r="CM325" s="146"/>
      <c r="CN325" s="146"/>
      <c r="CO325" s="146"/>
      <c r="CP325" s="146"/>
      <c r="CQ325" s="146"/>
      <c r="CR325" s="146"/>
      <c r="CS325" s="146"/>
      <c r="CT325" s="146"/>
      <c r="CU325" s="146"/>
    </row>
    <row r="326" spans="1:99" ht="16.399999999999999" customHeight="1" x14ac:dyDescent="0.35">
      <c r="A326" s="145"/>
      <c r="B326" s="145"/>
      <c r="C326" s="146"/>
      <c r="D326" s="146"/>
      <c r="E326" s="146"/>
      <c r="F326" s="146"/>
      <c r="G326" s="147"/>
      <c r="H326" s="216"/>
      <c r="I326" s="217"/>
      <c r="J326" s="146"/>
      <c r="K326" s="216"/>
      <c r="L326" s="153"/>
      <c r="M326" s="146"/>
      <c r="N326" s="148"/>
      <c r="O326" s="148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  <c r="AA326" s="146"/>
      <c r="AB326" s="146"/>
      <c r="AC326" s="146"/>
      <c r="AD326" s="146"/>
      <c r="AE326" s="146"/>
      <c r="AF326" s="146"/>
      <c r="AG326" s="146"/>
      <c r="AH326" s="146"/>
      <c r="AI326" s="146"/>
      <c r="AJ326" s="146"/>
      <c r="AK326" s="146"/>
      <c r="AL326" s="146"/>
      <c r="AM326" s="206"/>
      <c r="AN326" s="146"/>
      <c r="AO326" s="149"/>
      <c r="AP326" s="150"/>
      <c r="AQ326" s="146"/>
      <c r="AR326" s="146"/>
      <c r="AS326" s="146"/>
      <c r="AT326" s="146"/>
      <c r="AU326" s="146"/>
      <c r="AV326" s="146"/>
      <c r="AW326" s="146"/>
      <c r="AX326" s="146"/>
      <c r="AY326" s="146"/>
      <c r="AZ326" s="146"/>
      <c r="BA326" s="147"/>
      <c r="BB326" s="146"/>
      <c r="BC326" s="147"/>
      <c r="BD326" s="147"/>
      <c r="BE326" s="147"/>
      <c r="BF326" s="147"/>
      <c r="BG326" s="147"/>
      <c r="BH326" s="151"/>
      <c r="BI326" s="147"/>
      <c r="BJ326" s="147"/>
      <c r="BK326" s="147"/>
      <c r="BL326" s="146"/>
      <c r="BM326" s="152"/>
      <c r="BN326" s="218"/>
      <c r="BO326" s="153"/>
      <c r="BP326" s="153"/>
      <c r="BQ326" s="219"/>
      <c r="BR326" s="146"/>
      <c r="BS326" s="146"/>
      <c r="BT326" s="146"/>
      <c r="BU326" s="146"/>
      <c r="BV326" s="219"/>
      <c r="BW326" s="146"/>
      <c r="BX326" s="146"/>
      <c r="BY326" s="146"/>
      <c r="BZ326" s="146"/>
      <c r="CA326" s="146"/>
      <c r="CB326" s="146"/>
      <c r="CC326" s="146"/>
      <c r="CD326" s="146"/>
      <c r="CE326" s="146"/>
      <c r="CF326" s="146"/>
      <c r="CG326" s="146"/>
      <c r="CH326" s="146"/>
      <c r="CI326" s="146"/>
      <c r="CJ326" s="146"/>
      <c r="CK326" s="146"/>
      <c r="CL326" s="146"/>
      <c r="CM326" s="146"/>
      <c r="CN326" s="146"/>
      <c r="CO326" s="146"/>
      <c r="CP326" s="146"/>
      <c r="CQ326" s="146"/>
      <c r="CR326" s="146"/>
      <c r="CS326" s="146"/>
      <c r="CT326" s="146"/>
      <c r="CU326" s="146"/>
    </row>
    <row r="327" spans="1:99" ht="16.399999999999999" customHeight="1" x14ac:dyDescent="0.35">
      <c r="A327" s="145"/>
      <c r="B327" s="145"/>
      <c r="C327" s="146"/>
      <c r="D327" s="146"/>
      <c r="E327" s="146"/>
      <c r="F327" s="146"/>
      <c r="G327" s="147"/>
      <c r="H327" s="216"/>
      <c r="I327" s="217"/>
      <c r="J327" s="146"/>
      <c r="K327" s="216"/>
      <c r="L327" s="153"/>
      <c r="M327" s="146"/>
      <c r="N327" s="148"/>
      <c r="O327" s="148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  <c r="AA327" s="146"/>
      <c r="AB327" s="146"/>
      <c r="AC327" s="146"/>
      <c r="AD327" s="146"/>
      <c r="AE327" s="146"/>
      <c r="AF327" s="146"/>
      <c r="AG327" s="146"/>
      <c r="AH327" s="146"/>
      <c r="AI327" s="146"/>
      <c r="AJ327" s="146"/>
      <c r="AK327" s="146"/>
      <c r="AL327" s="146"/>
      <c r="AM327" s="206"/>
      <c r="AN327" s="146"/>
      <c r="AO327" s="149"/>
      <c r="AP327" s="150"/>
      <c r="AQ327" s="146"/>
      <c r="AR327" s="146"/>
      <c r="AS327" s="146"/>
      <c r="AT327" s="146"/>
      <c r="AU327" s="146"/>
      <c r="AV327" s="146"/>
      <c r="AW327" s="146"/>
      <c r="AX327" s="146"/>
      <c r="AY327" s="146"/>
      <c r="AZ327" s="146"/>
      <c r="BA327" s="147"/>
      <c r="BB327" s="146"/>
      <c r="BC327" s="147"/>
      <c r="BD327" s="147"/>
      <c r="BE327" s="147"/>
      <c r="BF327" s="147"/>
      <c r="BG327" s="147"/>
      <c r="BH327" s="151"/>
      <c r="BI327" s="147"/>
      <c r="BJ327" s="147"/>
      <c r="BK327" s="147"/>
      <c r="BL327" s="146"/>
      <c r="BM327" s="152"/>
      <c r="BN327" s="218"/>
      <c r="BO327" s="153"/>
      <c r="BP327" s="153"/>
      <c r="BQ327" s="219"/>
      <c r="BR327" s="146"/>
      <c r="BS327" s="146"/>
      <c r="BT327" s="146"/>
      <c r="BU327" s="146"/>
      <c r="BV327" s="219"/>
      <c r="BW327" s="146"/>
      <c r="BX327" s="146"/>
      <c r="BY327" s="146"/>
      <c r="BZ327" s="146"/>
      <c r="CA327" s="146"/>
      <c r="CB327" s="146"/>
      <c r="CC327" s="146"/>
      <c r="CD327" s="146"/>
      <c r="CE327" s="146"/>
      <c r="CF327" s="146"/>
      <c r="CG327" s="146"/>
      <c r="CH327" s="146"/>
      <c r="CI327" s="146"/>
      <c r="CJ327" s="146"/>
      <c r="CK327" s="146"/>
      <c r="CL327" s="146"/>
      <c r="CM327" s="146"/>
      <c r="CN327" s="146"/>
      <c r="CO327" s="146"/>
      <c r="CP327" s="146"/>
      <c r="CQ327" s="146"/>
      <c r="CR327" s="146"/>
      <c r="CS327" s="146"/>
      <c r="CT327" s="146"/>
      <c r="CU327" s="146"/>
    </row>
    <row r="328" spans="1:99" ht="16.399999999999999" customHeight="1" x14ac:dyDescent="0.35">
      <c r="A328" s="145"/>
      <c r="B328" s="145"/>
      <c r="C328" s="146"/>
      <c r="D328" s="146"/>
      <c r="E328" s="146"/>
      <c r="F328" s="146"/>
      <c r="G328" s="147"/>
      <c r="H328" s="216"/>
      <c r="I328" s="217"/>
      <c r="J328" s="146"/>
      <c r="K328" s="216"/>
      <c r="L328" s="153"/>
      <c r="M328" s="146"/>
      <c r="N328" s="148"/>
      <c r="O328" s="148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  <c r="AA328" s="146"/>
      <c r="AB328" s="146"/>
      <c r="AC328" s="146"/>
      <c r="AD328" s="146"/>
      <c r="AE328" s="146"/>
      <c r="AF328" s="146"/>
      <c r="AG328" s="146"/>
      <c r="AH328" s="146"/>
      <c r="AI328" s="146"/>
      <c r="AJ328" s="146"/>
      <c r="AK328" s="146"/>
      <c r="AL328" s="146"/>
      <c r="AM328" s="206"/>
      <c r="AN328" s="146"/>
      <c r="AO328" s="149"/>
      <c r="AP328" s="150"/>
      <c r="AQ328" s="146"/>
      <c r="AR328" s="146"/>
      <c r="AS328" s="146"/>
      <c r="AT328" s="146"/>
      <c r="AU328" s="146"/>
      <c r="AV328" s="146"/>
      <c r="AW328" s="146"/>
      <c r="AX328" s="146"/>
      <c r="AY328" s="146"/>
      <c r="AZ328" s="146"/>
      <c r="BA328" s="147"/>
      <c r="BB328" s="146"/>
      <c r="BC328" s="147"/>
      <c r="BD328" s="147"/>
      <c r="BE328" s="147"/>
      <c r="BF328" s="147"/>
      <c r="BG328" s="147"/>
      <c r="BH328" s="151"/>
      <c r="BI328" s="147"/>
      <c r="BJ328" s="147"/>
      <c r="BK328" s="147"/>
      <c r="BL328" s="146"/>
      <c r="BM328" s="152"/>
      <c r="BN328" s="218"/>
      <c r="BO328" s="153"/>
      <c r="BP328" s="153"/>
      <c r="BQ328" s="219"/>
      <c r="BR328" s="146"/>
      <c r="BS328" s="146"/>
      <c r="BT328" s="146"/>
      <c r="BU328" s="146"/>
      <c r="BV328" s="219"/>
      <c r="BW328" s="146"/>
      <c r="BX328" s="146"/>
      <c r="BY328" s="146"/>
      <c r="BZ328" s="146"/>
      <c r="CA328" s="146"/>
      <c r="CB328" s="146"/>
      <c r="CC328" s="146"/>
      <c r="CD328" s="146"/>
      <c r="CE328" s="146"/>
      <c r="CF328" s="146"/>
      <c r="CG328" s="146"/>
      <c r="CH328" s="146"/>
      <c r="CI328" s="146"/>
      <c r="CJ328" s="146"/>
      <c r="CK328" s="146"/>
      <c r="CL328" s="146"/>
      <c r="CM328" s="146"/>
      <c r="CN328" s="146"/>
      <c r="CO328" s="146"/>
      <c r="CP328" s="146"/>
      <c r="CQ328" s="146"/>
      <c r="CR328" s="146"/>
      <c r="CS328" s="146"/>
      <c r="CT328" s="146"/>
      <c r="CU328" s="146"/>
    </row>
    <row r="329" spans="1:99" ht="16.399999999999999" customHeight="1" x14ac:dyDescent="0.35">
      <c r="A329" s="145"/>
      <c r="B329" s="145"/>
      <c r="C329" s="146"/>
      <c r="D329" s="146"/>
      <c r="E329" s="146"/>
      <c r="F329" s="146"/>
      <c r="G329" s="147"/>
      <c r="H329" s="216"/>
      <c r="I329" s="217"/>
      <c r="J329" s="146"/>
      <c r="K329" s="216"/>
      <c r="L329" s="153"/>
      <c r="M329" s="146"/>
      <c r="N329" s="148"/>
      <c r="O329" s="148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  <c r="AA329" s="146"/>
      <c r="AB329" s="146"/>
      <c r="AC329" s="146"/>
      <c r="AD329" s="146"/>
      <c r="AE329" s="146"/>
      <c r="AF329" s="146"/>
      <c r="AG329" s="146"/>
      <c r="AH329" s="146"/>
      <c r="AI329" s="146"/>
      <c r="AJ329" s="146"/>
      <c r="AK329" s="146"/>
      <c r="AL329" s="146"/>
      <c r="AM329" s="206"/>
      <c r="AN329" s="146"/>
      <c r="AO329" s="149"/>
      <c r="AP329" s="150"/>
      <c r="AQ329" s="146"/>
      <c r="AR329" s="146"/>
      <c r="AS329" s="146"/>
      <c r="AT329" s="146"/>
      <c r="AU329" s="146"/>
      <c r="AV329" s="146"/>
      <c r="AW329" s="146"/>
      <c r="AX329" s="146"/>
      <c r="AY329" s="146"/>
      <c r="AZ329" s="146"/>
      <c r="BA329" s="147"/>
      <c r="BB329" s="146"/>
      <c r="BC329" s="147"/>
      <c r="BD329" s="147"/>
      <c r="BE329" s="147"/>
      <c r="BF329" s="147"/>
      <c r="BG329" s="147"/>
      <c r="BH329" s="151"/>
      <c r="BI329" s="147"/>
      <c r="BJ329" s="147"/>
      <c r="BK329" s="147"/>
      <c r="BL329" s="146"/>
      <c r="BM329" s="152"/>
      <c r="BN329" s="218"/>
      <c r="BO329" s="153"/>
      <c r="BP329" s="153"/>
      <c r="BQ329" s="219"/>
      <c r="BR329" s="146"/>
      <c r="BS329" s="146"/>
      <c r="BT329" s="146"/>
      <c r="BU329" s="146"/>
      <c r="BV329" s="219"/>
      <c r="BW329" s="146"/>
      <c r="BX329" s="146"/>
      <c r="BY329" s="146"/>
      <c r="BZ329" s="146"/>
      <c r="CA329" s="146"/>
      <c r="CB329" s="146"/>
      <c r="CC329" s="146"/>
      <c r="CD329" s="146"/>
      <c r="CE329" s="146"/>
      <c r="CF329" s="146"/>
      <c r="CG329" s="146"/>
      <c r="CH329" s="146"/>
      <c r="CI329" s="146"/>
      <c r="CJ329" s="146"/>
      <c r="CK329" s="146"/>
      <c r="CL329" s="146"/>
      <c r="CM329" s="146"/>
      <c r="CN329" s="146"/>
      <c r="CO329" s="146"/>
      <c r="CP329" s="146"/>
      <c r="CQ329" s="146"/>
      <c r="CR329" s="146"/>
      <c r="CS329" s="146"/>
      <c r="CT329" s="146"/>
      <c r="CU329" s="146"/>
    </row>
    <row r="330" spans="1:99" ht="16.399999999999999" customHeight="1" x14ac:dyDescent="0.35">
      <c r="A330" s="145"/>
      <c r="B330" s="145"/>
      <c r="C330" s="146"/>
      <c r="D330" s="146"/>
      <c r="E330" s="146"/>
      <c r="F330" s="146"/>
      <c r="G330" s="147"/>
      <c r="H330" s="216"/>
      <c r="I330" s="217"/>
      <c r="J330" s="146"/>
      <c r="K330" s="216"/>
      <c r="L330" s="153"/>
      <c r="M330" s="146"/>
      <c r="N330" s="148"/>
      <c r="O330" s="148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  <c r="AA330" s="146"/>
      <c r="AB330" s="146"/>
      <c r="AC330" s="146"/>
      <c r="AD330" s="146"/>
      <c r="AE330" s="146"/>
      <c r="AF330" s="146"/>
      <c r="AG330" s="146"/>
      <c r="AH330" s="146"/>
      <c r="AI330" s="146"/>
      <c r="AJ330" s="146"/>
      <c r="AK330" s="146"/>
      <c r="AL330" s="146"/>
      <c r="AM330" s="206"/>
      <c r="AN330" s="146"/>
      <c r="AO330" s="149"/>
      <c r="AP330" s="150"/>
      <c r="AQ330" s="146"/>
      <c r="AR330" s="146"/>
      <c r="AS330" s="146"/>
      <c r="AT330" s="146"/>
      <c r="AU330" s="146"/>
      <c r="AV330" s="146"/>
      <c r="AW330" s="146"/>
      <c r="AX330" s="146"/>
      <c r="AY330" s="146"/>
      <c r="AZ330" s="146"/>
      <c r="BA330" s="147"/>
      <c r="BB330" s="146"/>
      <c r="BC330" s="147"/>
      <c r="BD330" s="147"/>
      <c r="BE330" s="147"/>
      <c r="BF330" s="147"/>
      <c r="BG330" s="147"/>
      <c r="BH330" s="151"/>
      <c r="BI330" s="147"/>
      <c r="BJ330" s="147"/>
      <c r="BK330" s="147"/>
      <c r="BL330" s="146"/>
      <c r="BM330" s="152"/>
      <c r="BN330" s="218"/>
      <c r="BO330" s="153"/>
      <c r="BP330" s="153"/>
      <c r="BQ330" s="219"/>
      <c r="BR330" s="146"/>
      <c r="BS330" s="146"/>
      <c r="BT330" s="146"/>
      <c r="BU330" s="146"/>
      <c r="BV330" s="219"/>
      <c r="BW330" s="146"/>
      <c r="BX330" s="146"/>
      <c r="BY330" s="146"/>
      <c r="BZ330" s="146"/>
      <c r="CA330" s="146"/>
      <c r="CB330" s="146"/>
      <c r="CC330" s="146"/>
      <c r="CD330" s="146"/>
      <c r="CE330" s="146"/>
      <c r="CF330" s="146"/>
      <c r="CG330" s="146"/>
      <c r="CH330" s="146"/>
      <c r="CI330" s="146"/>
      <c r="CJ330" s="146"/>
      <c r="CK330" s="146"/>
      <c r="CL330" s="146"/>
      <c r="CM330" s="146"/>
      <c r="CN330" s="146"/>
      <c r="CO330" s="146"/>
      <c r="CP330" s="146"/>
      <c r="CQ330" s="146"/>
      <c r="CR330" s="146"/>
      <c r="CS330" s="146"/>
      <c r="CT330" s="146"/>
      <c r="CU330" s="146"/>
    </row>
    <row r="331" spans="1:99" ht="16.399999999999999" customHeight="1" x14ac:dyDescent="0.35">
      <c r="A331" s="145"/>
      <c r="B331" s="145"/>
      <c r="C331" s="146"/>
      <c r="D331" s="146"/>
      <c r="E331" s="146"/>
      <c r="F331" s="146"/>
      <c r="G331" s="147"/>
      <c r="H331" s="216"/>
      <c r="I331" s="217"/>
      <c r="J331" s="146"/>
      <c r="K331" s="216"/>
      <c r="L331" s="153"/>
      <c r="M331" s="146"/>
      <c r="N331" s="148"/>
      <c r="O331" s="148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  <c r="AA331" s="146"/>
      <c r="AB331" s="146"/>
      <c r="AC331" s="146"/>
      <c r="AD331" s="146"/>
      <c r="AE331" s="146"/>
      <c r="AF331" s="146"/>
      <c r="AG331" s="146"/>
      <c r="AH331" s="146"/>
      <c r="AI331" s="146"/>
      <c r="AJ331" s="146"/>
      <c r="AK331" s="146"/>
      <c r="AL331" s="146"/>
      <c r="AM331" s="206"/>
      <c r="AN331" s="146"/>
      <c r="AO331" s="149"/>
      <c r="AP331" s="150"/>
      <c r="AQ331" s="146"/>
      <c r="AR331" s="146"/>
      <c r="AS331" s="146"/>
      <c r="AT331" s="146"/>
      <c r="AU331" s="146"/>
      <c r="AV331" s="146"/>
      <c r="AW331" s="146"/>
      <c r="AX331" s="146"/>
      <c r="AY331" s="146"/>
      <c r="AZ331" s="146"/>
      <c r="BA331" s="147"/>
      <c r="BB331" s="146"/>
      <c r="BC331" s="147"/>
      <c r="BD331" s="147"/>
      <c r="BE331" s="147"/>
      <c r="BF331" s="147"/>
      <c r="BG331" s="147"/>
      <c r="BH331" s="151"/>
      <c r="BI331" s="147"/>
      <c r="BJ331" s="147"/>
      <c r="BK331" s="147"/>
      <c r="BL331" s="146"/>
      <c r="BM331" s="152"/>
      <c r="BN331" s="218"/>
      <c r="BO331" s="153"/>
      <c r="BP331" s="153"/>
      <c r="BQ331" s="219"/>
      <c r="BR331" s="146"/>
      <c r="BS331" s="146"/>
      <c r="BT331" s="146"/>
      <c r="BU331" s="146"/>
      <c r="BV331" s="219"/>
      <c r="BW331" s="146"/>
      <c r="BX331" s="146"/>
      <c r="BY331" s="146"/>
      <c r="BZ331" s="146"/>
      <c r="CA331" s="146"/>
      <c r="CB331" s="146"/>
      <c r="CC331" s="146"/>
      <c r="CD331" s="146"/>
      <c r="CE331" s="146"/>
      <c r="CF331" s="146"/>
      <c r="CG331" s="146"/>
      <c r="CH331" s="146"/>
      <c r="CI331" s="146"/>
      <c r="CJ331" s="146"/>
      <c r="CK331" s="146"/>
      <c r="CL331" s="146"/>
      <c r="CM331" s="146"/>
      <c r="CN331" s="146"/>
      <c r="CO331" s="146"/>
      <c r="CP331" s="146"/>
      <c r="CQ331" s="146"/>
      <c r="CR331" s="146"/>
      <c r="CS331" s="146"/>
      <c r="CT331" s="146"/>
      <c r="CU331" s="146"/>
    </row>
    <row r="332" spans="1:99" ht="16.399999999999999" customHeight="1" x14ac:dyDescent="0.35">
      <c r="A332" s="145"/>
      <c r="B332" s="145"/>
      <c r="C332" s="146"/>
      <c r="D332" s="146"/>
      <c r="E332" s="146"/>
      <c r="F332" s="146"/>
      <c r="G332" s="147"/>
      <c r="H332" s="216"/>
      <c r="I332" s="217"/>
      <c r="J332" s="146"/>
      <c r="K332" s="216"/>
      <c r="L332" s="153"/>
      <c r="M332" s="146"/>
      <c r="N332" s="148"/>
      <c r="O332" s="148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206"/>
      <c r="AN332" s="146"/>
      <c r="AO332" s="149"/>
      <c r="AP332" s="150"/>
      <c r="AQ332" s="146"/>
      <c r="AR332" s="146"/>
      <c r="AS332" s="146"/>
      <c r="AT332" s="146"/>
      <c r="AU332" s="146"/>
      <c r="AV332" s="146"/>
      <c r="AW332" s="146"/>
      <c r="AX332" s="146"/>
      <c r="AY332" s="146"/>
      <c r="AZ332" s="146"/>
      <c r="BA332" s="147"/>
      <c r="BB332" s="146"/>
      <c r="BC332" s="147"/>
      <c r="BD332" s="147"/>
      <c r="BE332" s="147"/>
      <c r="BF332" s="147"/>
      <c r="BG332" s="147"/>
      <c r="BH332" s="151"/>
      <c r="BI332" s="147"/>
      <c r="BJ332" s="147"/>
      <c r="BK332" s="147"/>
      <c r="BL332" s="146"/>
      <c r="BM332" s="152"/>
      <c r="BN332" s="218"/>
      <c r="BO332" s="153"/>
      <c r="BP332" s="153"/>
      <c r="BQ332" s="219"/>
      <c r="BR332" s="146"/>
      <c r="BS332" s="146"/>
      <c r="BT332" s="146"/>
      <c r="BU332" s="146"/>
      <c r="BV332" s="219"/>
      <c r="BW332" s="146"/>
      <c r="BX332" s="146"/>
      <c r="BY332" s="146"/>
      <c r="BZ332" s="146"/>
      <c r="CA332" s="146"/>
      <c r="CB332" s="146"/>
      <c r="CC332" s="146"/>
      <c r="CD332" s="146"/>
      <c r="CE332" s="146"/>
      <c r="CF332" s="146"/>
      <c r="CG332" s="146"/>
      <c r="CH332" s="146"/>
      <c r="CI332" s="146"/>
      <c r="CJ332" s="146"/>
      <c r="CK332" s="146"/>
      <c r="CL332" s="146"/>
      <c r="CM332" s="146"/>
      <c r="CN332" s="146"/>
      <c r="CO332" s="146"/>
      <c r="CP332" s="146"/>
      <c r="CQ332" s="146"/>
      <c r="CR332" s="146"/>
      <c r="CS332" s="146"/>
      <c r="CT332" s="146"/>
      <c r="CU332" s="146"/>
    </row>
    <row r="333" spans="1:99" ht="16.399999999999999" customHeight="1" x14ac:dyDescent="0.35">
      <c r="A333" s="145"/>
      <c r="B333" s="145"/>
      <c r="C333" s="146"/>
      <c r="D333" s="146"/>
      <c r="E333" s="146"/>
      <c r="F333" s="146"/>
      <c r="G333" s="147"/>
      <c r="H333" s="216"/>
      <c r="I333" s="217"/>
      <c r="J333" s="146"/>
      <c r="K333" s="216"/>
      <c r="L333" s="153"/>
      <c r="M333" s="146"/>
      <c r="N333" s="148"/>
      <c r="O333" s="148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  <c r="AA333" s="146"/>
      <c r="AB333" s="146"/>
      <c r="AC333" s="146"/>
      <c r="AD333" s="146"/>
      <c r="AE333" s="146"/>
      <c r="AF333" s="146"/>
      <c r="AG333" s="146"/>
      <c r="AH333" s="146"/>
      <c r="AI333" s="146"/>
      <c r="AJ333" s="146"/>
      <c r="AK333" s="146"/>
      <c r="AL333" s="146"/>
      <c r="AM333" s="206"/>
      <c r="AN333" s="146"/>
      <c r="AO333" s="149"/>
      <c r="AP333" s="150"/>
      <c r="AQ333" s="146"/>
      <c r="AR333" s="146"/>
      <c r="AS333" s="146"/>
      <c r="AT333" s="146"/>
      <c r="AU333" s="146"/>
      <c r="AV333" s="146"/>
      <c r="AW333" s="146"/>
      <c r="AX333" s="146"/>
      <c r="AY333" s="146"/>
      <c r="AZ333" s="146"/>
      <c r="BA333" s="147"/>
      <c r="BB333" s="146"/>
      <c r="BC333" s="147"/>
      <c r="BD333" s="147"/>
      <c r="BE333" s="147"/>
      <c r="BF333" s="147"/>
      <c r="BG333" s="147"/>
      <c r="BH333" s="151"/>
      <c r="BI333" s="147"/>
      <c r="BJ333" s="147"/>
      <c r="BK333" s="147"/>
      <c r="BL333" s="146"/>
      <c r="BM333" s="152"/>
      <c r="BN333" s="218"/>
      <c r="BO333" s="153"/>
      <c r="BP333" s="153"/>
      <c r="BQ333" s="219"/>
      <c r="BR333" s="146"/>
      <c r="BS333" s="146"/>
      <c r="BT333" s="146"/>
      <c r="BU333" s="146"/>
      <c r="BV333" s="219"/>
      <c r="BW333" s="146"/>
      <c r="BX333" s="146"/>
      <c r="BY333" s="146"/>
      <c r="BZ333" s="146"/>
      <c r="CA333" s="146"/>
      <c r="CB333" s="146"/>
      <c r="CC333" s="146"/>
      <c r="CD333" s="146"/>
      <c r="CE333" s="146"/>
      <c r="CF333" s="146"/>
      <c r="CG333" s="146"/>
      <c r="CH333" s="146"/>
      <c r="CI333" s="146"/>
      <c r="CJ333" s="146"/>
      <c r="CK333" s="146"/>
      <c r="CL333" s="146"/>
      <c r="CM333" s="146"/>
      <c r="CN333" s="146"/>
      <c r="CO333" s="146"/>
      <c r="CP333" s="146"/>
      <c r="CQ333" s="146"/>
      <c r="CR333" s="146"/>
      <c r="CS333" s="146"/>
      <c r="CT333" s="146"/>
      <c r="CU333" s="146"/>
    </row>
    <row r="334" spans="1:99" ht="16.399999999999999" customHeight="1" x14ac:dyDescent="0.35">
      <c r="A334" s="145"/>
      <c r="B334" s="145"/>
      <c r="C334" s="146"/>
      <c r="D334" s="146"/>
      <c r="E334" s="146"/>
      <c r="F334" s="146"/>
      <c r="G334" s="147"/>
      <c r="H334" s="216"/>
      <c r="I334" s="217"/>
      <c r="J334" s="146"/>
      <c r="K334" s="216"/>
      <c r="L334" s="153"/>
      <c r="M334" s="146"/>
      <c r="N334" s="148"/>
      <c r="O334" s="148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  <c r="AA334" s="146"/>
      <c r="AB334" s="146"/>
      <c r="AC334" s="146"/>
      <c r="AD334" s="146"/>
      <c r="AE334" s="146"/>
      <c r="AF334" s="146"/>
      <c r="AG334" s="146"/>
      <c r="AH334" s="146"/>
      <c r="AI334" s="146"/>
      <c r="AJ334" s="146"/>
      <c r="AK334" s="146"/>
      <c r="AL334" s="146"/>
      <c r="AM334" s="206"/>
      <c r="AN334" s="146"/>
      <c r="AO334" s="149"/>
      <c r="AP334" s="150"/>
      <c r="AQ334" s="146"/>
      <c r="AR334" s="146"/>
      <c r="AS334" s="146"/>
      <c r="AT334" s="146"/>
      <c r="AU334" s="146"/>
      <c r="AV334" s="146"/>
      <c r="AW334" s="146"/>
      <c r="AX334" s="146"/>
      <c r="AY334" s="146"/>
      <c r="AZ334" s="146"/>
      <c r="BA334" s="147"/>
      <c r="BB334" s="146"/>
      <c r="BC334" s="147"/>
      <c r="BD334" s="147"/>
      <c r="BE334" s="147"/>
      <c r="BF334" s="147"/>
      <c r="BG334" s="147"/>
      <c r="BH334" s="151"/>
      <c r="BI334" s="147"/>
      <c r="BJ334" s="147"/>
      <c r="BK334" s="147"/>
      <c r="BL334" s="146"/>
      <c r="BM334" s="152"/>
      <c r="BN334" s="218"/>
      <c r="BO334" s="153"/>
      <c r="BP334" s="153"/>
      <c r="BQ334" s="219"/>
      <c r="BR334" s="146"/>
      <c r="BS334" s="146"/>
      <c r="BT334" s="146"/>
      <c r="BU334" s="146"/>
      <c r="BV334" s="219"/>
      <c r="BW334" s="146"/>
      <c r="BX334" s="146"/>
      <c r="BY334" s="146"/>
      <c r="BZ334" s="146"/>
      <c r="CA334" s="146"/>
      <c r="CB334" s="146"/>
      <c r="CC334" s="146"/>
      <c r="CD334" s="146"/>
      <c r="CE334" s="146"/>
      <c r="CF334" s="146"/>
      <c r="CG334" s="146"/>
      <c r="CH334" s="146"/>
      <c r="CI334" s="146"/>
      <c r="CJ334" s="146"/>
      <c r="CK334" s="146"/>
      <c r="CL334" s="146"/>
      <c r="CM334" s="146"/>
      <c r="CN334" s="146"/>
      <c r="CO334" s="146"/>
      <c r="CP334" s="146"/>
      <c r="CQ334" s="146"/>
      <c r="CR334" s="146"/>
      <c r="CS334" s="146"/>
      <c r="CT334" s="146"/>
      <c r="CU334" s="146"/>
    </row>
    <row r="335" spans="1:99" ht="16.399999999999999" customHeight="1" x14ac:dyDescent="0.35">
      <c r="A335" s="145"/>
      <c r="B335" s="145"/>
      <c r="C335" s="146"/>
      <c r="D335" s="146"/>
      <c r="E335" s="146"/>
      <c r="F335" s="146"/>
      <c r="G335" s="147"/>
      <c r="H335" s="216"/>
      <c r="I335" s="217"/>
      <c r="J335" s="146"/>
      <c r="K335" s="216"/>
      <c r="L335" s="153"/>
      <c r="M335" s="146"/>
      <c r="N335" s="148"/>
      <c r="O335" s="148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  <c r="AA335" s="146"/>
      <c r="AB335" s="146"/>
      <c r="AC335" s="146"/>
      <c r="AD335" s="146"/>
      <c r="AE335" s="146"/>
      <c r="AF335" s="146"/>
      <c r="AG335" s="146"/>
      <c r="AH335" s="146"/>
      <c r="AI335" s="146"/>
      <c r="AJ335" s="146"/>
      <c r="AK335" s="146"/>
      <c r="AL335" s="146"/>
      <c r="AM335" s="206"/>
      <c r="AN335" s="146"/>
      <c r="AO335" s="149"/>
      <c r="AP335" s="150"/>
      <c r="AQ335" s="146"/>
      <c r="AR335" s="146"/>
      <c r="AS335" s="146"/>
      <c r="AT335" s="146"/>
      <c r="AU335" s="146"/>
      <c r="AV335" s="146"/>
      <c r="AW335" s="146"/>
      <c r="AX335" s="146"/>
      <c r="AY335" s="146"/>
      <c r="AZ335" s="146"/>
      <c r="BA335" s="147"/>
      <c r="BB335" s="146"/>
      <c r="BC335" s="147"/>
      <c r="BD335" s="147"/>
      <c r="BE335" s="147"/>
      <c r="BF335" s="147"/>
      <c r="BG335" s="147"/>
      <c r="BH335" s="151"/>
      <c r="BI335" s="147"/>
      <c r="BJ335" s="147"/>
      <c r="BK335" s="147"/>
      <c r="BL335" s="146"/>
      <c r="BM335" s="152"/>
      <c r="BN335" s="218"/>
      <c r="BO335" s="153"/>
      <c r="BP335" s="153"/>
      <c r="BQ335" s="219"/>
      <c r="BR335" s="146"/>
      <c r="BS335" s="146"/>
      <c r="BT335" s="146"/>
      <c r="BU335" s="146"/>
      <c r="BV335" s="219"/>
      <c r="BW335" s="146"/>
      <c r="BX335" s="146"/>
      <c r="BY335" s="146"/>
      <c r="BZ335" s="146"/>
      <c r="CA335" s="146"/>
      <c r="CB335" s="146"/>
      <c r="CC335" s="146"/>
      <c r="CD335" s="146"/>
      <c r="CE335" s="146"/>
      <c r="CF335" s="146"/>
      <c r="CG335" s="146"/>
      <c r="CH335" s="146"/>
      <c r="CI335" s="146"/>
      <c r="CJ335" s="146"/>
      <c r="CK335" s="146"/>
      <c r="CL335" s="146"/>
      <c r="CM335" s="146"/>
      <c r="CN335" s="146"/>
      <c r="CO335" s="146"/>
      <c r="CP335" s="146"/>
      <c r="CQ335" s="146"/>
      <c r="CR335" s="146"/>
      <c r="CS335" s="146"/>
      <c r="CT335" s="146"/>
      <c r="CU335" s="146"/>
    </row>
    <row r="336" spans="1:99" ht="16.399999999999999" customHeight="1" x14ac:dyDescent="0.35">
      <c r="A336" s="145"/>
      <c r="B336" s="145"/>
      <c r="C336" s="146"/>
      <c r="D336" s="146"/>
      <c r="E336" s="146"/>
      <c r="F336" s="146"/>
      <c r="G336" s="147"/>
      <c r="H336" s="216"/>
      <c r="I336" s="217"/>
      <c r="J336" s="146"/>
      <c r="K336" s="216"/>
      <c r="L336" s="153"/>
      <c r="M336" s="146"/>
      <c r="N336" s="148"/>
      <c r="O336" s="148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  <c r="AA336" s="146"/>
      <c r="AB336" s="146"/>
      <c r="AC336" s="146"/>
      <c r="AD336" s="146"/>
      <c r="AE336" s="146"/>
      <c r="AF336" s="146"/>
      <c r="AG336" s="146"/>
      <c r="AH336" s="146"/>
      <c r="AI336" s="146"/>
      <c r="AJ336" s="146"/>
      <c r="AK336" s="146"/>
      <c r="AL336" s="146"/>
      <c r="AM336" s="206"/>
      <c r="AN336" s="146"/>
      <c r="AO336" s="149"/>
      <c r="AP336" s="150"/>
      <c r="AQ336" s="146"/>
      <c r="AR336" s="146"/>
      <c r="AS336" s="146"/>
      <c r="AT336" s="146"/>
      <c r="AU336" s="146"/>
      <c r="AV336" s="146"/>
      <c r="AW336" s="146"/>
      <c r="AX336" s="146"/>
      <c r="AY336" s="146"/>
      <c r="AZ336" s="146"/>
      <c r="BA336" s="147"/>
      <c r="BB336" s="146"/>
      <c r="BC336" s="147"/>
      <c r="BD336" s="147"/>
      <c r="BE336" s="147"/>
      <c r="BF336" s="147"/>
      <c r="BG336" s="147"/>
      <c r="BH336" s="151"/>
      <c r="BI336" s="147"/>
      <c r="BJ336" s="147"/>
      <c r="BK336" s="147"/>
      <c r="BL336" s="146"/>
      <c r="BM336" s="152"/>
      <c r="BN336" s="218"/>
      <c r="BO336" s="153"/>
      <c r="BP336" s="153"/>
      <c r="BQ336" s="219"/>
      <c r="BR336" s="146"/>
      <c r="BS336" s="146"/>
      <c r="BT336" s="146"/>
      <c r="BU336" s="146"/>
      <c r="BV336" s="219"/>
      <c r="BW336" s="146"/>
      <c r="BX336" s="146"/>
      <c r="BY336" s="146"/>
      <c r="BZ336" s="146"/>
      <c r="CA336" s="146"/>
      <c r="CB336" s="146"/>
      <c r="CC336" s="146"/>
      <c r="CD336" s="146"/>
      <c r="CE336" s="146"/>
      <c r="CF336" s="146"/>
      <c r="CG336" s="146"/>
      <c r="CH336" s="146"/>
      <c r="CI336" s="146"/>
      <c r="CJ336" s="146"/>
      <c r="CK336" s="146"/>
      <c r="CL336" s="146"/>
      <c r="CM336" s="146"/>
      <c r="CN336" s="146"/>
      <c r="CO336" s="146"/>
      <c r="CP336" s="146"/>
      <c r="CQ336" s="146"/>
      <c r="CR336" s="146"/>
      <c r="CS336" s="146"/>
      <c r="CT336" s="146"/>
      <c r="CU336" s="146"/>
    </row>
    <row r="337" spans="1:99" ht="16.399999999999999" customHeight="1" x14ac:dyDescent="0.35">
      <c r="A337" s="145"/>
      <c r="B337" s="145"/>
      <c r="C337" s="146"/>
      <c r="D337" s="146"/>
      <c r="E337" s="146"/>
      <c r="F337" s="146"/>
      <c r="G337" s="147"/>
      <c r="H337" s="216"/>
      <c r="I337" s="217"/>
      <c r="J337" s="146"/>
      <c r="K337" s="216"/>
      <c r="L337" s="153"/>
      <c r="M337" s="146"/>
      <c r="N337" s="148"/>
      <c r="O337" s="148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  <c r="AA337" s="146"/>
      <c r="AB337" s="146"/>
      <c r="AC337" s="146"/>
      <c r="AD337" s="146"/>
      <c r="AE337" s="146"/>
      <c r="AF337" s="146"/>
      <c r="AG337" s="146"/>
      <c r="AH337" s="146"/>
      <c r="AI337" s="146"/>
      <c r="AJ337" s="146"/>
      <c r="AK337" s="146"/>
      <c r="AL337" s="146"/>
      <c r="AM337" s="206"/>
      <c r="AN337" s="146"/>
      <c r="AO337" s="149"/>
      <c r="AP337" s="150"/>
      <c r="AQ337" s="146"/>
      <c r="AR337" s="146"/>
      <c r="AS337" s="146"/>
      <c r="AT337" s="146"/>
      <c r="AU337" s="146"/>
      <c r="AV337" s="146"/>
      <c r="AW337" s="146"/>
      <c r="AX337" s="146"/>
      <c r="AY337" s="146"/>
      <c r="AZ337" s="146"/>
      <c r="BA337" s="147"/>
      <c r="BB337" s="146"/>
      <c r="BC337" s="147"/>
      <c r="BD337" s="147"/>
      <c r="BE337" s="147"/>
      <c r="BF337" s="147"/>
      <c r="BG337" s="147"/>
      <c r="BH337" s="151"/>
      <c r="BI337" s="147"/>
      <c r="BJ337" s="147"/>
      <c r="BK337" s="147"/>
      <c r="BL337" s="146"/>
      <c r="BM337" s="152"/>
      <c r="BN337" s="218"/>
      <c r="BO337" s="153"/>
      <c r="BP337" s="153"/>
      <c r="BQ337" s="219"/>
      <c r="BR337" s="146"/>
      <c r="BS337" s="146"/>
      <c r="BT337" s="146"/>
      <c r="BU337" s="146"/>
      <c r="BV337" s="219"/>
      <c r="BW337" s="146"/>
      <c r="BX337" s="146"/>
      <c r="BY337" s="146"/>
      <c r="BZ337" s="146"/>
      <c r="CA337" s="146"/>
      <c r="CB337" s="146"/>
      <c r="CC337" s="146"/>
      <c r="CD337" s="146"/>
      <c r="CE337" s="146"/>
      <c r="CF337" s="146"/>
      <c r="CG337" s="146"/>
      <c r="CH337" s="146"/>
      <c r="CI337" s="146"/>
      <c r="CJ337" s="146"/>
      <c r="CK337" s="146"/>
      <c r="CL337" s="146"/>
      <c r="CM337" s="146"/>
      <c r="CN337" s="146"/>
      <c r="CO337" s="146"/>
      <c r="CP337" s="146"/>
      <c r="CQ337" s="146"/>
      <c r="CR337" s="146"/>
      <c r="CS337" s="146"/>
      <c r="CT337" s="146"/>
      <c r="CU337" s="146"/>
    </row>
    <row r="338" spans="1:99" ht="16.399999999999999" customHeight="1" x14ac:dyDescent="0.35">
      <c r="A338" s="145"/>
      <c r="B338" s="145"/>
      <c r="C338" s="146"/>
      <c r="D338" s="146"/>
      <c r="E338" s="146"/>
      <c r="F338" s="146"/>
      <c r="G338" s="147"/>
      <c r="H338" s="216"/>
      <c r="I338" s="217"/>
      <c r="J338" s="146"/>
      <c r="K338" s="216"/>
      <c r="L338" s="153"/>
      <c r="M338" s="146"/>
      <c r="N338" s="148"/>
      <c r="O338" s="148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  <c r="AA338" s="146"/>
      <c r="AB338" s="146"/>
      <c r="AC338" s="146"/>
      <c r="AD338" s="146"/>
      <c r="AE338" s="146"/>
      <c r="AF338" s="146"/>
      <c r="AG338" s="146"/>
      <c r="AH338" s="146"/>
      <c r="AI338" s="146"/>
      <c r="AJ338" s="146"/>
      <c r="AK338" s="146"/>
      <c r="AL338" s="146"/>
      <c r="AM338" s="206"/>
      <c r="AN338" s="146"/>
      <c r="AO338" s="149"/>
      <c r="AP338" s="150"/>
      <c r="AQ338" s="146"/>
      <c r="AR338" s="146"/>
      <c r="AS338" s="146"/>
      <c r="AT338" s="146"/>
      <c r="AU338" s="146"/>
      <c r="AV338" s="146"/>
      <c r="AW338" s="146"/>
      <c r="AX338" s="146"/>
      <c r="AY338" s="146"/>
      <c r="AZ338" s="146"/>
      <c r="BA338" s="147"/>
      <c r="BB338" s="146"/>
      <c r="BC338" s="147"/>
      <c r="BD338" s="147"/>
      <c r="BE338" s="147"/>
      <c r="BF338" s="147"/>
      <c r="BG338" s="147"/>
      <c r="BH338" s="151"/>
      <c r="BI338" s="147"/>
      <c r="BJ338" s="147"/>
      <c r="BK338" s="147"/>
      <c r="BL338" s="146"/>
      <c r="BM338" s="152"/>
      <c r="BN338" s="218"/>
      <c r="BO338" s="153"/>
      <c r="BP338" s="153"/>
      <c r="BQ338" s="219"/>
      <c r="BR338" s="146"/>
      <c r="BS338" s="146"/>
      <c r="BT338" s="146"/>
      <c r="BU338" s="146"/>
      <c r="BV338" s="219"/>
      <c r="BW338" s="146"/>
      <c r="BX338" s="146"/>
      <c r="BY338" s="146"/>
      <c r="BZ338" s="146"/>
      <c r="CA338" s="146"/>
      <c r="CB338" s="146"/>
      <c r="CC338" s="146"/>
      <c r="CD338" s="146"/>
      <c r="CE338" s="146"/>
      <c r="CF338" s="146"/>
      <c r="CG338" s="146"/>
      <c r="CH338" s="146"/>
      <c r="CI338" s="146"/>
      <c r="CJ338" s="146"/>
      <c r="CK338" s="146"/>
      <c r="CL338" s="146"/>
      <c r="CM338" s="146"/>
      <c r="CN338" s="146"/>
      <c r="CO338" s="146"/>
      <c r="CP338" s="146"/>
      <c r="CQ338" s="146"/>
      <c r="CR338" s="146"/>
      <c r="CS338" s="146"/>
      <c r="CT338" s="146"/>
      <c r="CU338" s="146"/>
    </row>
    <row r="339" spans="1:99" ht="16.399999999999999" customHeight="1" x14ac:dyDescent="0.35">
      <c r="A339" s="145"/>
      <c r="B339" s="145"/>
      <c r="C339" s="146"/>
      <c r="D339" s="146"/>
      <c r="E339" s="146"/>
      <c r="F339" s="146"/>
      <c r="G339" s="147"/>
      <c r="H339" s="216"/>
      <c r="I339" s="217"/>
      <c r="J339" s="146"/>
      <c r="K339" s="216"/>
      <c r="L339" s="153"/>
      <c r="M339" s="146"/>
      <c r="N339" s="148"/>
      <c r="O339" s="148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  <c r="AA339" s="146"/>
      <c r="AB339" s="146"/>
      <c r="AC339" s="146"/>
      <c r="AD339" s="146"/>
      <c r="AE339" s="146"/>
      <c r="AF339" s="146"/>
      <c r="AG339" s="146"/>
      <c r="AH339" s="146"/>
      <c r="AI339" s="146"/>
      <c r="AJ339" s="146"/>
      <c r="AK339" s="146"/>
      <c r="AL339" s="146"/>
      <c r="AM339" s="206"/>
      <c r="AN339" s="146"/>
      <c r="AO339" s="149"/>
      <c r="AP339" s="150"/>
      <c r="AQ339" s="146"/>
      <c r="AR339" s="146"/>
      <c r="AS339" s="146"/>
      <c r="AT339" s="146"/>
      <c r="AU339" s="146"/>
      <c r="AV339" s="146"/>
      <c r="AW339" s="146"/>
      <c r="AX339" s="146"/>
      <c r="AY339" s="146"/>
      <c r="AZ339" s="146"/>
      <c r="BA339" s="147"/>
      <c r="BB339" s="146"/>
      <c r="BC339" s="147"/>
      <c r="BD339" s="147"/>
      <c r="BE339" s="147"/>
      <c r="BF339" s="147"/>
      <c r="BG339" s="147"/>
      <c r="BH339" s="151"/>
      <c r="BI339" s="147"/>
      <c r="BJ339" s="147"/>
      <c r="BK339" s="147"/>
      <c r="BL339" s="146"/>
      <c r="BM339" s="152"/>
      <c r="BN339" s="218"/>
      <c r="BO339" s="153"/>
      <c r="BP339" s="153"/>
      <c r="BQ339" s="219"/>
      <c r="BR339" s="146"/>
      <c r="BS339" s="146"/>
      <c r="BT339" s="146"/>
      <c r="BU339" s="146"/>
      <c r="BV339" s="219"/>
      <c r="BW339" s="146"/>
      <c r="BX339" s="146"/>
      <c r="BY339" s="146"/>
      <c r="BZ339" s="146"/>
      <c r="CA339" s="146"/>
      <c r="CB339" s="146"/>
      <c r="CC339" s="146"/>
      <c r="CD339" s="146"/>
      <c r="CE339" s="146"/>
      <c r="CF339" s="146"/>
      <c r="CG339" s="146"/>
      <c r="CH339" s="146"/>
      <c r="CI339" s="146"/>
      <c r="CJ339" s="146"/>
      <c r="CK339" s="146"/>
      <c r="CL339" s="146"/>
      <c r="CM339" s="146"/>
      <c r="CN339" s="146"/>
      <c r="CO339" s="146"/>
      <c r="CP339" s="146"/>
      <c r="CQ339" s="146"/>
      <c r="CR339" s="146"/>
      <c r="CS339" s="146"/>
      <c r="CT339" s="146"/>
      <c r="CU339" s="146"/>
    </row>
    <row r="340" spans="1:99" ht="16.399999999999999" customHeight="1" x14ac:dyDescent="0.35">
      <c r="A340" s="145"/>
      <c r="B340" s="145"/>
      <c r="C340" s="146"/>
      <c r="D340" s="146"/>
      <c r="E340" s="146"/>
      <c r="F340" s="146"/>
      <c r="G340" s="147"/>
      <c r="H340" s="216"/>
      <c r="I340" s="217"/>
      <c r="J340" s="146"/>
      <c r="K340" s="216"/>
      <c r="L340" s="153"/>
      <c r="M340" s="146"/>
      <c r="N340" s="148"/>
      <c r="O340" s="148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  <c r="AA340" s="146"/>
      <c r="AB340" s="146"/>
      <c r="AC340" s="146"/>
      <c r="AD340" s="146"/>
      <c r="AE340" s="146"/>
      <c r="AF340" s="146"/>
      <c r="AG340" s="146"/>
      <c r="AH340" s="146"/>
      <c r="AI340" s="146"/>
      <c r="AJ340" s="146"/>
      <c r="AK340" s="146"/>
      <c r="AL340" s="146"/>
      <c r="AM340" s="206"/>
      <c r="AN340" s="146"/>
      <c r="AO340" s="149"/>
      <c r="AP340" s="150"/>
      <c r="AQ340" s="146"/>
      <c r="AR340" s="146"/>
      <c r="AS340" s="146"/>
      <c r="AT340" s="146"/>
      <c r="AU340" s="146"/>
      <c r="AV340" s="146"/>
      <c r="AW340" s="146"/>
      <c r="AX340" s="146"/>
      <c r="AY340" s="146"/>
      <c r="AZ340" s="146"/>
      <c r="BA340" s="147"/>
      <c r="BB340" s="146"/>
      <c r="BC340" s="147"/>
      <c r="BD340" s="147"/>
      <c r="BE340" s="147"/>
      <c r="BF340" s="147"/>
      <c r="BG340" s="147"/>
      <c r="BH340" s="151"/>
      <c r="BI340" s="147"/>
      <c r="BJ340" s="147"/>
      <c r="BK340" s="147"/>
      <c r="BL340" s="146"/>
      <c r="BM340" s="152"/>
      <c r="BN340" s="218"/>
      <c r="BO340" s="153"/>
      <c r="BP340" s="153"/>
      <c r="BQ340" s="219"/>
      <c r="BR340" s="146"/>
      <c r="BS340" s="146"/>
      <c r="BT340" s="146"/>
      <c r="BU340" s="146"/>
      <c r="BV340" s="219"/>
      <c r="BW340" s="146"/>
      <c r="BX340" s="146"/>
      <c r="BY340" s="146"/>
      <c r="BZ340" s="146"/>
      <c r="CA340" s="146"/>
      <c r="CB340" s="146"/>
      <c r="CC340" s="146"/>
      <c r="CD340" s="146"/>
      <c r="CE340" s="146"/>
      <c r="CF340" s="146"/>
      <c r="CG340" s="146"/>
      <c r="CH340" s="146"/>
      <c r="CI340" s="146"/>
      <c r="CJ340" s="146"/>
      <c r="CK340" s="146"/>
      <c r="CL340" s="146"/>
      <c r="CM340" s="146"/>
      <c r="CN340" s="146"/>
      <c r="CO340" s="146"/>
      <c r="CP340" s="146"/>
      <c r="CQ340" s="146"/>
      <c r="CR340" s="146"/>
      <c r="CS340" s="146"/>
      <c r="CT340" s="146"/>
      <c r="CU340" s="146"/>
    </row>
    <row r="341" spans="1:99" ht="16.399999999999999" customHeight="1" x14ac:dyDescent="0.35">
      <c r="A341" s="145"/>
      <c r="B341" s="145"/>
      <c r="C341" s="146"/>
      <c r="D341" s="146"/>
      <c r="E341" s="146"/>
      <c r="F341" s="146"/>
      <c r="G341" s="147"/>
      <c r="H341" s="216"/>
      <c r="I341" s="217"/>
      <c r="J341" s="146"/>
      <c r="K341" s="216"/>
      <c r="L341" s="153"/>
      <c r="M341" s="146"/>
      <c r="N341" s="148"/>
      <c r="O341" s="148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  <c r="AA341" s="146"/>
      <c r="AB341" s="146"/>
      <c r="AC341" s="146"/>
      <c r="AD341" s="146"/>
      <c r="AE341" s="146"/>
      <c r="AF341" s="146"/>
      <c r="AG341" s="146"/>
      <c r="AH341" s="146"/>
      <c r="AI341" s="146"/>
      <c r="AJ341" s="146"/>
      <c r="AK341" s="146"/>
      <c r="AL341" s="146"/>
      <c r="AM341" s="206"/>
      <c r="AN341" s="146"/>
      <c r="AO341" s="149"/>
      <c r="AP341" s="150"/>
      <c r="AQ341" s="146"/>
      <c r="AR341" s="146"/>
      <c r="AS341" s="146"/>
      <c r="AT341" s="146"/>
      <c r="AU341" s="146"/>
      <c r="AV341" s="146"/>
      <c r="AW341" s="146"/>
      <c r="AX341" s="146"/>
      <c r="AY341" s="146"/>
      <c r="AZ341" s="146"/>
      <c r="BA341" s="147"/>
      <c r="BB341" s="146"/>
      <c r="BC341" s="147"/>
      <c r="BD341" s="147"/>
      <c r="BE341" s="147"/>
      <c r="BF341" s="147"/>
      <c r="BG341" s="147"/>
      <c r="BH341" s="151"/>
      <c r="BI341" s="147"/>
      <c r="BJ341" s="147"/>
      <c r="BK341" s="147"/>
      <c r="BL341" s="146"/>
      <c r="BM341" s="152"/>
      <c r="BN341" s="218"/>
      <c r="BO341" s="153"/>
      <c r="BP341" s="153"/>
      <c r="BQ341" s="219"/>
      <c r="BR341" s="146"/>
      <c r="BS341" s="146"/>
      <c r="BT341" s="146"/>
      <c r="BU341" s="146"/>
      <c r="BV341" s="219"/>
      <c r="BW341" s="146"/>
      <c r="BX341" s="146"/>
      <c r="BY341" s="146"/>
      <c r="BZ341" s="146"/>
      <c r="CA341" s="146"/>
      <c r="CB341" s="146"/>
      <c r="CC341" s="146"/>
      <c r="CD341" s="146"/>
      <c r="CE341" s="146"/>
      <c r="CF341" s="146"/>
      <c r="CG341" s="146"/>
      <c r="CH341" s="146"/>
      <c r="CI341" s="146"/>
      <c r="CJ341" s="146"/>
      <c r="CK341" s="146"/>
      <c r="CL341" s="146"/>
      <c r="CM341" s="146"/>
      <c r="CN341" s="146"/>
      <c r="CO341" s="146"/>
      <c r="CP341" s="146"/>
      <c r="CQ341" s="146"/>
      <c r="CR341" s="146"/>
      <c r="CS341" s="146"/>
      <c r="CT341" s="146"/>
      <c r="CU341" s="146"/>
    </row>
    <row r="342" spans="1:99" ht="16.399999999999999" customHeight="1" x14ac:dyDescent="0.35">
      <c r="A342" s="145"/>
      <c r="B342" s="145"/>
      <c r="C342" s="146"/>
      <c r="D342" s="146"/>
      <c r="E342" s="146"/>
      <c r="F342" s="146"/>
      <c r="G342" s="147"/>
      <c r="H342" s="216"/>
      <c r="I342" s="217"/>
      <c r="J342" s="146"/>
      <c r="K342" s="216"/>
      <c r="L342" s="153"/>
      <c r="M342" s="146"/>
      <c r="N342" s="148"/>
      <c r="O342" s="148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  <c r="AD342" s="146"/>
      <c r="AE342" s="146"/>
      <c r="AF342" s="146"/>
      <c r="AG342" s="146"/>
      <c r="AH342" s="146"/>
      <c r="AI342" s="146"/>
      <c r="AJ342" s="146"/>
      <c r="AK342" s="146"/>
      <c r="AL342" s="146"/>
      <c r="AM342" s="206"/>
      <c r="AN342" s="146"/>
      <c r="AO342" s="149"/>
      <c r="AP342" s="150"/>
      <c r="AQ342" s="146"/>
      <c r="AR342" s="146"/>
      <c r="AS342" s="146"/>
      <c r="AT342" s="146"/>
      <c r="AU342" s="146"/>
      <c r="AV342" s="146"/>
      <c r="AW342" s="146"/>
      <c r="AX342" s="146"/>
      <c r="AY342" s="146"/>
      <c r="AZ342" s="146"/>
      <c r="BA342" s="147"/>
      <c r="BB342" s="146"/>
      <c r="BC342" s="147"/>
      <c r="BD342" s="147"/>
      <c r="BE342" s="147"/>
      <c r="BF342" s="147"/>
      <c r="BG342" s="147"/>
      <c r="BH342" s="151"/>
      <c r="BI342" s="147"/>
      <c r="BJ342" s="147"/>
      <c r="BK342" s="147"/>
      <c r="BL342" s="146"/>
      <c r="BM342" s="152"/>
      <c r="BN342" s="218"/>
      <c r="BO342" s="153"/>
      <c r="BP342" s="153"/>
      <c r="BQ342" s="219"/>
      <c r="BR342" s="146"/>
      <c r="BS342" s="146"/>
      <c r="BT342" s="146"/>
      <c r="BU342" s="146"/>
      <c r="BV342" s="219"/>
      <c r="BW342" s="146"/>
      <c r="BX342" s="146"/>
      <c r="BY342" s="146"/>
      <c r="BZ342" s="146"/>
      <c r="CA342" s="146"/>
      <c r="CB342" s="146"/>
      <c r="CC342" s="146"/>
      <c r="CD342" s="146"/>
      <c r="CE342" s="146"/>
      <c r="CF342" s="146"/>
      <c r="CG342" s="146"/>
      <c r="CH342" s="146"/>
      <c r="CI342" s="146"/>
      <c r="CJ342" s="146"/>
      <c r="CK342" s="146"/>
      <c r="CL342" s="146"/>
      <c r="CM342" s="146"/>
      <c r="CN342" s="146"/>
      <c r="CO342" s="146"/>
      <c r="CP342" s="146"/>
      <c r="CQ342" s="146"/>
      <c r="CR342" s="146"/>
      <c r="CS342" s="146"/>
      <c r="CT342" s="146"/>
      <c r="CU342" s="146"/>
    </row>
    <row r="343" spans="1:99" ht="16.399999999999999" customHeight="1" x14ac:dyDescent="0.35">
      <c r="A343" s="145"/>
      <c r="B343" s="145"/>
      <c r="C343" s="146"/>
      <c r="D343" s="146"/>
      <c r="E343" s="146"/>
      <c r="F343" s="146"/>
      <c r="G343" s="147"/>
      <c r="H343" s="216"/>
      <c r="I343" s="217"/>
      <c r="J343" s="146"/>
      <c r="K343" s="216"/>
      <c r="L343" s="153"/>
      <c r="M343" s="146"/>
      <c r="N343" s="148"/>
      <c r="O343" s="148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  <c r="AA343" s="146"/>
      <c r="AB343" s="146"/>
      <c r="AC343" s="146"/>
      <c r="AD343" s="146"/>
      <c r="AE343" s="146"/>
      <c r="AF343" s="146"/>
      <c r="AG343" s="146"/>
      <c r="AH343" s="146"/>
      <c r="AI343" s="146"/>
      <c r="AJ343" s="146"/>
      <c r="AK343" s="146"/>
      <c r="AL343" s="146"/>
      <c r="AM343" s="206"/>
      <c r="AN343" s="146"/>
      <c r="AO343" s="149"/>
      <c r="AP343" s="150"/>
      <c r="AQ343" s="146"/>
      <c r="AR343" s="146"/>
      <c r="AS343" s="146"/>
      <c r="AT343" s="146"/>
      <c r="AU343" s="146"/>
      <c r="AV343" s="146"/>
      <c r="AW343" s="146"/>
      <c r="AX343" s="146"/>
      <c r="AY343" s="146"/>
      <c r="AZ343" s="146"/>
      <c r="BA343" s="147"/>
      <c r="BB343" s="146"/>
      <c r="BC343" s="147"/>
      <c r="BD343" s="147"/>
      <c r="BE343" s="147"/>
      <c r="BF343" s="147"/>
      <c r="BG343" s="147"/>
      <c r="BH343" s="151"/>
      <c r="BI343" s="147"/>
      <c r="BJ343" s="147"/>
      <c r="BK343" s="147"/>
      <c r="BL343" s="146"/>
      <c r="BM343" s="152"/>
      <c r="BN343" s="218"/>
      <c r="BO343" s="153"/>
      <c r="BP343" s="153"/>
      <c r="BQ343" s="219"/>
      <c r="BR343" s="146"/>
      <c r="BS343" s="146"/>
      <c r="BT343" s="146"/>
      <c r="BU343" s="146"/>
      <c r="BV343" s="219"/>
      <c r="BW343" s="146"/>
      <c r="BX343" s="146"/>
      <c r="BY343" s="146"/>
      <c r="BZ343" s="146"/>
      <c r="CA343" s="146"/>
      <c r="CB343" s="146"/>
      <c r="CC343" s="146"/>
      <c r="CD343" s="146"/>
      <c r="CE343" s="146"/>
      <c r="CF343" s="146"/>
      <c r="CG343" s="146"/>
      <c r="CH343" s="146"/>
      <c r="CI343" s="146"/>
      <c r="CJ343" s="146"/>
      <c r="CK343" s="146"/>
      <c r="CL343" s="146"/>
      <c r="CM343" s="146"/>
      <c r="CN343" s="146"/>
      <c r="CO343" s="146"/>
      <c r="CP343" s="146"/>
      <c r="CQ343" s="146"/>
      <c r="CR343" s="146"/>
      <c r="CS343" s="146"/>
      <c r="CT343" s="146"/>
      <c r="CU343" s="146"/>
    </row>
    <row r="344" spans="1:99" ht="16.399999999999999" customHeight="1" x14ac:dyDescent="0.35">
      <c r="A344" s="145"/>
      <c r="B344" s="145"/>
      <c r="C344" s="146"/>
      <c r="D344" s="146"/>
      <c r="E344" s="146"/>
      <c r="F344" s="146"/>
      <c r="G344" s="147"/>
      <c r="H344" s="216"/>
      <c r="I344" s="217"/>
      <c r="J344" s="146"/>
      <c r="K344" s="216"/>
      <c r="L344" s="153"/>
      <c r="M344" s="146"/>
      <c r="N344" s="148"/>
      <c r="O344" s="148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6"/>
      <c r="AG344" s="146"/>
      <c r="AH344" s="146"/>
      <c r="AI344" s="146"/>
      <c r="AJ344" s="146"/>
      <c r="AK344" s="146"/>
      <c r="AL344" s="146"/>
      <c r="AM344" s="206"/>
      <c r="AN344" s="146"/>
      <c r="AO344" s="149"/>
      <c r="AP344" s="150"/>
      <c r="AQ344" s="146"/>
      <c r="AR344" s="146"/>
      <c r="AS344" s="146"/>
      <c r="AT344" s="146"/>
      <c r="AU344" s="146"/>
      <c r="AV344" s="146"/>
      <c r="AW344" s="146"/>
      <c r="AX344" s="146"/>
      <c r="AY344" s="146"/>
      <c r="AZ344" s="146"/>
      <c r="BA344" s="147"/>
      <c r="BB344" s="146"/>
      <c r="BC344" s="147"/>
      <c r="BD344" s="147"/>
      <c r="BE344" s="147"/>
      <c r="BF344" s="147"/>
      <c r="BG344" s="147"/>
      <c r="BH344" s="151"/>
      <c r="BI344" s="147"/>
      <c r="BJ344" s="147"/>
      <c r="BK344" s="147"/>
      <c r="BL344" s="146"/>
      <c r="BM344" s="152"/>
      <c r="BN344" s="218"/>
      <c r="BO344" s="153"/>
      <c r="BP344" s="153"/>
      <c r="BQ344" s="219"/>
      <c r="BR344" s="146"/>
      <c r="BS344" s="146"/>
      <c r="BT344" s="146"/>
      <c r="BU344" s="146"/>
      <c r="BV344" s="219"/>
      <c r="BW344" s="146"/>
      <c r="BX344" s="146"/>
      <c r="BY344" s="146"/>
      <c r="BZ344" s="146"/>
      <c r="CA344" s="146"/>
      <c r="CB344" s="146"/>
      <c r="CC344" s="146"/>
      <c r="CD344" s="146"/>
      <c r="CE344" s="146"/>
      <c r="CF344" s="146"/>
      <c r="CG344" s="146"/>
      <c r="CH344" s="146"/>
      <c r="CI344" s="146"/>
      <c r="CJ344" s="146"/>
      <c r="CK344" s="146"/>
      <c r="CL344" s="146"/>
      <c r="CM344" s="146"/>
      <c r="CN344" s="146"/>
      <c r="CO344" s="146"/>
      <c r="CP344" s="146"/>
      <c r="CQ344" s="146"/>
      <c r="CR344" s="146"/>
      <c r="CS344" s="146"/>
      <c r="CT344" s="146"/>
      <c r="CU344" s="146"/>
    </row>
    <row r="345" spans="1:99" ht="16.399999999999999" customHeight="1" x14ac:dyDescent="0.35">
      <c r="A345" s="145"/>
      <c r="B345" s="145"/>
      <c r="C345" s="146"/>
      <c r="D345" s="146"/>
      <c r="E345" s="146"/>
      <c r="F345" s="146"/>
      <c r="G345" s="147"/>
      <c r="H345" s="216"/>
      <c r="I345" s="217"/>
      <c r="J345" s="146"/>
      <c r="K345" s="216"/>
      <c r="L345" s="153"/>
      <c r="M345" s="146"/>
      <c r="N345" s="148"/>
      <c r="O345" s="148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6"/>
      <c r="AG345" s="146"/>
      <c r="AH345" s="146"/>
      <c r="AI345" s="146"/>
      <c r="AJ345" s="146"/>
      <c r="AK345" s="146"/>
      <c r="AL345" s="146"/>
      <c r="AM345" s="206"/>
      <c r="AN345" s="146"/>
      <c r="AO345" s="149"/>
      <c r="AP345" s="150"/>
      <c r="AQ345" s="146"/>
      <c r="AR345" s="146"/>
      <c r="AS345" s="146"/>
      <c r="AT345" s="146"/>
      <c r="AU345" s="146"/>
      <c r="AV345" s="146"/>
      <c r="AW345" s="146"/>
      <c r="AX345" s="146"/>
      <c r="AY345" s="146"/>
      <c r="AZ345" s="146"/>
      <c r="BA345" s="147"/>
      <c r="BB345" s="146"/>
      <c r="BC345" s="147"/>
      <c r="BD345" s="147"/>
      <c r="BE345" s="147"/>
      <c r="BF345" s="147"/>
      <c r="BG345" s="147"/>
      <c r="BH345" s="151"/>
      <c r="BI345" s="147"/>
      <c r="BJ345" s="147"/>
      <c r="BK345" s="147"/>
      <c r="BL345" s="146"/>
      <c r="BM345" s="152"/>
      <c r="BN345" s="218"/>
      <c r="BO345" s="153"/>
      <c r="BP345" s="153"/>
      <c r="BQ345" s="219"/>
      <c r="BR345" s="146"/>
      <c r="BS345" s="146"/>
      <c r="BT345" s="146"/>
      <c r="BU345" s="146"/>
      <c r="BV345" s="219"/>
      <c r="BW345" s="146"/>
      <c r="BX345" s="146"/>
      <c r="BY345" s="146"/>
      <c r="BZ345" s="146"/>
      <c r="CA345" s="146"/>
      <c r="CB345" s="146"/>
      <c r="CC345" s="146"/>
      <c r="CD345" s="146"/>
      <c r="CE345" s="146"/>
      <c r="CF345" s="146"/>
      <c r="CG345" s="146"/>
      <c r="CH345" s="146"/>
      <c r="CI345" s="146"/>
      <c r="CJ345" s="146"/>
      <c r="CK345" s="146"/>
      <c r="CL345" s="146"/>
      <c r="CM345" s="146"/>
      <c r="CN345" s="146"/>
      <c r="CO345" s="146"/>
      <c r="CP345" s="146"/>
      <c r="CQ345" s="146"/>
      <c r="CR345" s="146"/>
      <c r="CS345" s="146"/>
      <c r="CT345" s="146"/>
      <c r="CU345" s="146"/>
    </row>
    <row r="346" spans="1:99" ht="16.399999999999999" customHeight="1" x14ac:dyDescent="0.35">
      <c r="A346" s="145"/>
      <c r="B346" s="145"/>
      <c r="C346" s="146"/>
      <c r="D346" s="146"/>
      <c r="E346" s="146"/>
      <c r="F346" s="146"/>
      <c r="G346" s="147"/>
      <c r="H346" s="216"/>
      <c r="I346" s="217"/>
      <c r="J346" s="146"/>
      <c r="K346" s="216"/>
      <c r="L346" s="153"/>
      <c r="M346" s="146"/>
      <c r="N346" s="148"/>
      <c r="O346" s="148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  <c r="AA346" s="146"/>
      <c r="AB346" s="146"/>
      <c r="AC346" s="146"/>
      <c r="AD346" s="146"/>
      <c r="AE346" s="146"/>
      <c r="AF346" s="146"/>
      <c r="AG346" s="146"/>
      <c r="AH346" s="146"/>
      <c r="AI346" s="146"/>
      <c r="AJ346" s="146"/>
      <c r="AK346" s="146"/>
      <c r="AL346" s="146"/>
      <c r="AM346" s="206"/>
      <c r="AN346" s="146"/>
      <c r="AO346" s="149"/>
      <c r="AP346" s="150"/>
      <c r="AQ346" s="146"/>
      <c r="AR346" s="146"/>
      <c r="AS346" s="146"/>
      <c r="AT346" s="146"/>
      <c r="AU346" s="146"/>
      <c r="AV346" s="146"/>
      <c r="AW346" s="146"/>
      <c r="AX346" s="146"/>
      <c r="AY346" s="146"/>
      <c r="AZ346" s="146"/>
      <c r="BA346" s="147"/>
      <c r="BB346" s="146"/>
      <c r="BC346" s="147"/>
      <c r="BD346" s="147"/>
      <c r="BE346" s="147"/>
      <c r="BF346" s="147"/>
      <c r="BG346" s="147"/>
      <c r="BH346" s="151"/>
      <c r="BI346" s="147"/>
      <c r="BJ346" s="147"/>
      <c r="BK346" s="147"/>
      <c r="BL346" s="146"/>
      <c r="BM346" s="152"/>
      <c r="BN346" s="218"/>
      <c r="BO346" s="153"/>
      <c r="BP346" s="153"/>
      <c r="BQ346" s="219"/>
      <c r="BR346" s="146"/>
      <c r="BS346" s="146"/>
      <c r="BT346" s="146"/>
      <c r="BU346" s="146"/>
      <c r="BV346" s="219"/>
      <c r="BW346" s="146"/>
      <c r="BX346" s="146"/>
      <c r="BY346" s="146"/>
      <c r="BZ346" s="146"/>
      <c r="CA346" s="146"/>
      <c r="CB346" s="146"/>
      <c r="CC346" s="146"/>
      <c r="CD346" s="146"/>
      <c r="CE346" s="146"/>
      <c r="CF346" s="146"/>
      <c r="CG346" s="146"/>
      <c r="CH346" s="146"/>
      <c r="CI346" s="146"/>
      <c r="CJ346" s="146"/>
      <c r="CK346" s="146"/>
      <c r="CL346" s="146"/>
      <c r="CM346" s="146"/>
      <c r="CN346" s="146"/>
      <c r="CO346" s="146"/>
      <c r="CP346" s="146"/>
      <c r="CQ346" s="146"/>
      <c r="CR346" s="146"/>
      <c r="CS346" s="146"/>
      <c r="CT346" s="146"/>
      <c r="CU346" s="146"/>
    </row>
    <row r="347" spans="1:99" ht="16.399999999999999" customHeight="1" x14ac:dyDescent="0.35">
      <c r="A347" s="145"/>
      <c r="B347" s="145"/>
      <c r="C347" s="146"/>
      <c r="D347" s="146"/>
      <c r="E347" s="146"/>
      <c r="F347" s="146"/>
      <c r="G347" s="147"/>
      <c r="H347" s="216"/>
      <c r="I347" s="217"/>
      <c r="J347" s="146"/>
      <c r="K347" s="216"/>
      <c r="L347" s="153"/>
      <c r="M347" s="146"/>
      <c r="N347" s="148"/>
      <c r="O347" s="148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  <c r="AA347" s="146"/>
      <c r="AB347" s="146"/>
      <c r="AC347" s="146"/>
      <c r="AD347" s="146"/>
      <c r="AE347" s="146"/>
      <c r="AF347" s="146"/>
      <c r="AG347" s="146"/>
      <c r="AH347" s="146"/>
      <c r="AI347" s="146"/>
      <c r="AJ347" s="146"/>
      <c r="AK347" s="146"/>
      <c r="AL347" s="146"/>
      <c r="AM347" s="206"/>
      <c r="AN347" s="146"/>
      <c r="AO347" s="149"/>
      <c r="AP347" s="150"/>
      <c r="AQ347" s="146"/>
      <c r="AR347" s="146"/>
      <c r="AS347" s="146"/>
      <c r="AT347" s="146"/>
      <c r="AU347" s="146"/>
      <c r="AV347" s="146"/>
      <c r="AW347" s="146"/>
      <c r="AX347" s="146"/>
      <c r="AY347" s="146"/>
      <c r="AZ347" s="146"/>
      <c r="BA347" s="147"/>
      <c r="BB347" s="146"/>
      <c r="BC347" s="147"/>
      <c r="BD347" s="147"/>
      <c r="BE347" s="147"/>
      <c r="BF347" s="147"/>
      <c r="BG347" s="147"/>
      <c r="BH347" s="151"/>
      <c r="BI347" s="147"/>
      <c r="BJ347" s="147"/>
      <c r="BK347" s="147"/>
      <c r="BL347" s="146"/>
      <c r="BM347" s="152"/>
      <c r="BN347" s="218"/>
      <c r="BO347" s="153"/>
      <c r="BP347" s="153"/>
      <c r="BQ347" s="219"/>
      <c r="BR347" s="146"/>
      <c r="BS347" s="146"/>
      <c r="BT347" s="146"/>
      <c r="BU347" s="146"/>
      <c r="BV347" s="219"/>
      <c r="BW347" s="146"/>
      <c r="BX347" s="146"/>
      <c r="BY347" s="146"/>
      <c r="BZ347" s="146"/>
      <c r="CA347" s="146"/>
      <c r="CB347" s="146"/>
      <c r="CC347" s="146"/>
      <c r="CD347" s="146"/>
      <c r="CE347" s="146"/>
      <c r="CF347" s="146"/>
      <c r="CG347" s="146"/>
      <c r="CH347" s="146"/>
      <c r="CI347" s="146"/>
      <c r="CJ347" s="146"/>
      <c r="CK347" s="146"/>
      <c r="CL347" s="146"/>
      <c r="CM347" s="146"/>
      <c r="CN347" s="146"/>
      <c r="CO347" s="146"/>
      <c r="CP347" s="146"/>
      <c r="CQ347" s="146"/>
      <c r="CR347" s="146"/>
      <c r="CS347" s="146"/>
      <c r="CT347" s="146"/>
      <c r="CU347" s="146"/>
    </row>
    <row r="348" spans="1:99" ht="16.399999999999999" customHeight="1" x14ac:dyDescent="0.35">
      <c r="A348" s="145"/>
      <c r="B348" s="145"/>
      <c r="C348" s="146"/>
      <c r="D348" s="146"/>
      <c r="E348" s="146"/>
      <c r="F348" s="146"/>
      <c r="G348" s="147"/>
      <c r="H348" s="216"/>
      <c r="I348" s="217"/>
      <c r="J348" s="146"/>
      <c r="K348" s="216"/>
      <c r="L348" s="153"/>
      <c r="M348" s="146"/>
      <c r="N348" s="148"/>
      <c r="O348" s="148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  <c r="AA348" s="146"/>
      <c r="AB348" s="146"/>
      <c r="AC348" s="146"/>
      <c r="AD348" s="146"/>
      <c r="AE348" s="146"/>
      <c r="AF348" s="146"/>
      <c r="AG348" s="146"/>
      <c r="AH348" s="146"/>
      <c r="AI348" s="146"/>
      <c r="AJ348" s="146"/>
      <c r="AK348" s="146"/>
      <c r="AL348" s="146"/>
      <c r="AM348" s="206"/>
      <c r="AN348" s="146"/>
      <c r="AO348" s="149"/>
      <c r="AP348" s="150"/>
      <c r="AQ348" s="146"/>
      <c r="AR348" s="146"/>
      <c r="AS348" s="146"/>
      <c r="AT348" s="146"/>
      <c r="AU348" s="146"/>
      <c r="AV348" s="146"/>
      <c r="AW348" s="146"/>
      <c r="AX348" s="146"/>
      <c r="AY348" s="146"/>
      <c r="AZ348" s="146"/>
      <c r="BA348" s="147"/>
      <c r="BB348" s="146"/>
      <c r="BC348" s="147"/>
      <c r="BD348" s="147"/>
      <c r="BE348" s="147"/>
      <c r="BF348" s="147"/>
      <c r="BG348" s="147"/>
      <c r="BH348" s="151"/>
      <c r="BI348" s="147"/>
      <c r="BJ348" s="147"/>
      <c r="BK348" s="147"/>
      <c r="BL348" s="146"/>
      <c r="BM348" s="152"/>
      <c r="BN348" s="218"/>
      <c r="BO348" s="153"/>
      <c r="BP348" s="153"/>
      <c r="BQ348" s="219"/>
      <c r="BR348" s="146"/>
      <c r="BS348" s="146"/>
      <c r="BT348" s="146"/>
      <c r="BU348" s="146"/>
      <c r="BV348" s="219"/>
      <c r="BW348" s="146"/>
      <c r="BX348" s="146"/>
      <c r="BY348" s="146"/>
      <c r="BZ348" s="146"/>
      <c r="CA348" s="146"/>
      <c r="CB348" s="146"/>
      <c r="CC348" s="146"/>
      <c r="CD348" s="146"/>
      <c r="CE348" s="146"/>
      <c r="CF348" s="146"/>
      <c r="CG348" s="146"/>
      <c r="CH348" s="146"/>
      <c r="CI348" s="146"/>
      <c r="CJ348" s="146"/>
      <c r="CK348" s="146"/>
      <c r="CL348" s="146"/>
      <c r="CM348" s="146"/>
      <c r="CN348" s="146"/>
      <c r="CO348" s="146"/>
      <c r="CP348" s="146"/>
      <c r="CQ348" s="146"/>
      <c r="CR348" s="146"/>
      <c r="CS348" s="146"/>
      <c r="CT348" s="146"/>
      <c r="CU348" s="146"/>
    </row>
    <row r="349" spans="1:99" ht="16.399999999999999" customHeight="1" x14ac:dyDescent="0.35">
      <c r="A349" s="145"/>
      <c r="B349" s="145"/>
      <c r="C349" s="146"/>
      <c r="D349" s="146"/>
      <c r="E349" s="146"/>
      <c r="F349" s="146"/>
      <c r="G349" s="147"/>
      <c r="H349" s="216"/>
      <c r="I349" s="217"/>
      <c r="J349" s="146"/>
      <c r="K349" s="216"/>
      <c r="L349" s="153"/>
      <c r="M349" s="146"/>
      <c r="N349" s="148"/>
      <c r="O349" s="148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  <c r="AA349" s="146"/>
      <c r="AB349" s="146"/>
      <c r="AC349" s="146"/>
      <c r="AD349" s="146"/>
      <c r="AE349" s="146"/>
      <c r="AF349" s="146"/>
      <c r="AG349" s="146"/>
      <c r="AH349" s="146"/>
      <c r="AI349" s="146"/>
      <c r="AJ349" s="146"/>
      <c r="AK349" s="146"/>
      <c r="AL349" s="146"/>
      <c r="AM349" s="206"/>
      <c r="AN349" s="146"/>
      <c r="AO349" s="149"/>
      <c r="AP349" s="150"/>
      <c r="AQ349" s="146"/>
      <c r="AR349" s="146"/>
      <c r="AS349" s="146"/>
      <c r="AT349" s="146"/>
      <c r="AU349" s="146"/>
      <c r="AV349" s="146"/>
      <c r="AW349" s="146"/>
      <c r="AX349" s="146"/>
      <c r="AY349" s="146"/>
      <c r="AZ349" s="146"/>
      <c r="BA349" s="147"/>
      <c r="BB349" s="146"/>
      <c r="BC349" s="147"/>
      <c r="BD349" s="147"/>
      <c r="BE349" s="147"/>
      <c r="BF349" s="147"/>
      <c r="BG349" s="147"/>
      <c r="BH349" s="151"/>
      <c r="BI349" s="147"/>
      <c r="BJ349" s="147"/>
      <c r="BK349" s="147"/>
      <c r="BL349" s="146"/>
      <c r="BM349" s="152"/>
      <c r="BN349" s="218"/>
      <c r="BO349" s="153"/>
      <c r="BP349" s="153"/>
      <c r="BQ349" s="219"/>
      <c r="BR349" s="146"/>
      <c r="BS349" s="146"/>
      <c r="BT349" s="146"/>
      <c r="BU349" s="146"/>
      <c r="BV349" s="219"/>
      <c r="BW349" s="146"/>
      <c r="BX349" s="146"/>
      <c r="BY349" s="146"/>
      <c r="BZ349" s="146"/>
      <c r="CA349" s="146"/>
      <c r="CB349" s="146"/>
      <c r="CC349" s="146"/>
      <c r="CD349" s="146"/>
      <c r="CE349" s="146"/>
      <c r="CF349" s="146"/>
      <c r="CG349" s="146"/>
      <c r="CH349" s="146"/>
      <c r="CI349" s="146"/>
      <c r="CJ349" s="146"/>
      <c r="CK349" s="146"/>
      <c r="CL349" s="146"/>
      <c r="CM349" s="146"/>
      <c r="CN349" s="146"/>
      <c r="CO349" s="146"/>
      <c r="CP349" s="146"/>
      <c r="CQ349" s="146"/>
      <c r="CR349" s="146"/>
      <c r="CS349" s="146"/>
      <c r="CT349" s="146"/>
      <c r="CU349" s="146"/>
    </row>
    <row r="350" spans="1:99" ht="16.399999999999999" customHeight="1" x14ac:dyDescent="0.35">
      <c r="A350" s="145"/>
      <c r="B350" s="145"/>
      <c r="C350" s="146"/>
      <c r="D350" s="146"/>
      <c r="E350" s="146"/>
      <c r="F350" s="146"/>
      <c r="G350" s="147"/>
      <c r="H350" s="216"/>
      <c r="I350" s="217"/>
      <c r="J350" s="146"/>
      <c r="K350" s="216"/>
      <c r="L350" s="153"/>
      <c r="M350" s="146"/>
      <c r="N350" s="148"/>
      <c r="O350" s="148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  <c r="AA350" s="146"/>
      <c r="AB350" s="146"/>
      <c r="AC350" s="146"/>
      <c r="AD350" s="146"/>
      <c r="AE350" s="146"/>
      <c r="AF350" s="146"/>
      <c r="AG350" s="146"/>
      <c r="AH350" s="146"/>
      <c r="AI350" s="146"/>
      <c r="AJ350" s="146"/>
      <c r="AK350" s="146"/>
      <c r="AL350" s="146"/>
      <c r="AM350" s="206"/>
      <c r="AN350" s="146"/>
      <c r="AO350" s="149"/>
      <c r="AP350" s="150"/>
      <c r="AQ350" s="146"/>
      <c r="AR350" s="146"/>
      <c r="AS350" s="146"/>
      <c r="AT350" s="146"/>
      <c r="AU350" s="146"/>
      <c r="AV350" s="146"/>
      <c r="AW350" s="146"/>
      <c r="AX350" s="146"/>
      <c r="AY350" s="146"/>
      <c r="AZ350" s="146"/>
      <c r="BA350" s="147"/>
      <c r="BB350" s="146"/>
      <c r="BC350" s="147"/>
      <c r="BD350" s="147"/>
      <c r="BE350" s="147"/>
      <c r="BF350" s="147"/>
      <c r="BG350" s="147"/>
      <c r="BH350" s="151"/>
      <c r="BI350" s="147"/>
      <c r="BJ350" s="147"/>
      <c r="BK350" s="147"/>
      <c r="BL350" s="146"/>
      <c r="BM350" s="152"/>
      <c r="BN350" s="218"/>
      <c r="BO350" s="153"/>
      <c r="BP350" s="153"/>
      <c r="BQ350" s="219"/>
      <c r="BR350" s="146"/>
      <c r="BS350" s="146"/>
      <c r="BT350" s="146"/>
      <c r="BU350" s="146"/>
      <c r="BV350" s="219"/>
      <c r="BW350" s="146"/>
      <c r="BX350" s="146"/>
      <c r="BY350" s="146"/>
      <c r="BZ350" s="146"/>
      <c r="CA350" s="146"/>
      <c r="CB350" s="146"/>
      <c r="CC350" s="146"/>
      <c r="CD350" s="146"/>
      <c r="CE350" s="146"/>
      <c r="CF350" s="146"/>
      <c r="CG350" s="146"/>
      <c r="CH350" s="146"/>
      <c r="CI350" s="146"/>
      <c r="CJ350" s="146"/>
      <c r="CK350" s="146"/>
      <c r="CL350" s="146"/>
      <c r="CM350" s="146"/>
      <c r="CN350" s="146"/>
      <c r="CO350" s="146"/>
      <c r="CP350" s="146"/>
      <c r="CQ350" s="146"/>
      <c r="CR350" s="146"/>
      <c r="CS350" s="146"/>
      <c r="CT350" s="146"/>
      <c r="CU350" s="146"/>
    </row>
    <row r="351" spans="1:99" ht="16.399999999999999" customHeight="1" x14ac:dyDescent="0.35">
      <c r="A351" s="145"/>
      <c r="B351" s="145"/>
      <c r="C351" s="146"/>
      <c r="D351" s="146"/>
      <c r="E351" s="146"/>
      <c r="F351" s="146"/>
      <c r="G351" s="147"/>
      <c r="H351" s="216"/>
      <c r="I351" s="217"/>
      <c r="J351" s="146"/>
      <c r="K351" s="216"/>
      <c r="L351" s="153"/>
      <c r="M351" s="146"/>
      <c r="N351" s="148"/>
      <c r="O351" s="148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  <c r="AA351" s="146"/>
      <c r="AB351" s="146"/>
      <c r="AC351" s="146"/>
      <c r="AD351" s="146"/>
      <c r="AE351" s="146"/>
      <c r="AF351" s="146"/>
      <c r="AG351" s="146"/>
      <c r="AH351" s="146"/>
      <c r="AI351" s="146"/>
      <c r="AJ351" s="146"/>
      <c r="AK351" s="146"/>
      <c r="AL351" s="146"/>
      <c r="AM351" s="206"/>
      <c r="AN351" s="146"/>
      <c r="AO351" s="149"/>
      <c r="AP351" s="150"/>
      <c r="AQ351" s="146"/>
      <c r="AR351" s="146"/>
      <c r="AS351" s="146"/>
      <c r="AT351" s="146"/>
      <c r="AU351" s="146"/>
      <c r="AV351" s="146"/>
      <c r="AW351" s="146"/>
      <c r="AX351" s="146"/>
      <c r="AY351" s="146"/>
      <c r="AZ351" s="146"/>
      <c r="BA351" s="147"/>
      <c r="BB351" s="146"/>
      <c r="BC351" s="147"/>
      <c r="BD351" s="147"/>
      <c r="BE351" s="147"/>
      <c r="BF351" s="147"/>
      <c r="BG351" s="147"/>
      <c r="BH351" s="151"/>
      <c r="BI351" s="147"/>
      <c r="BJ351" s="147"/>
      <c r="BK351" s="147"/>
      <c r="BL351" s="146"/>
      <c r="BM351" s="152"/>
      <c r="BN351" s="218"/>
      <c r="BO351" s="153"/>
      <c r="BP351" s="153"/>
      <c r="BQ351" s="219"/>
      <c r="BR351" s="146"/>
      <c r="BS351" s="146"/>
      <c r="BT351" s="146"/>
      <c r="BU351" s="146"/>
      <c r="BV351" s="219"/>
      <c r="BW351" s="146"/>
      <c r="BX351" s="146"/>
      <c r="BY351" s="146"/>
      <c r="BZ351" s="146"/>
      <c r="CA351" s="146"/>
      <c r="CB351" s="146"/>
      <c r="CC351" s="146"/>
      <c r="CD351" s="146"/>
      <c r="CE351" s="146"/>
      <c r="CF351" s="146"/>
      <c r="CG351" s="146"/>
      <c r="CH351" s="146"/>
      <c r="CI351" s="146"/>
      <c r="CJ351" s="146"/>
      <c r="CK351" s="146"/>
      <c r="CL351" s="146"/>
      <c r="CM351" s="146"/>
      <c r="CN351" s="146"/>
      <c r="CO351" s="146"/>
      <c r="CP351" s="146"/>
      <c r="CQ351" s="146"/>
      <c r="CR351" s="146"/>
      <c r="CS351" s="146"/>
      <c r="CT351" s="146"/>
      <c r="CU351" s="146"/>
    </row>
    <row r="352" spans="1:99" ht="16.399999999999999" customHeight="1" x14ac:dyDescent="0.35">
      <c r="A352" s="145"/>
      <c r="B352" s="145"/>
      <c r="C352" s="146"/>
      <c r="D352" s="146"/>
      <c r="E352" s="146"/>
      <c r="F352" s="146"/>
      <c r="G352" s="147"/>
      <c r="H352" s="216"/>
      <c r="I352" s="217"/>
      <c r="J352" s="146"/>
      <c r="K352" s="216"/>
      <c r="L352" s="153"/>
      <c r="M352" s="146"/>
      <c r="N352" s="148"/>
      <c r="O352" s="148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  <c r="AA352" s="146"/>
      <c r="AB352" s="146"/>
      <c r="AC352" s="146"/>
      <c r="AD352" s="146"/>
      <c r="AE352" s="146"/>
      <c r="AF352" s="146"/>
      <c r="AG352" s="146"/>
      <c r="AH352" s="146"/>
      <c r="AI352" s="146"/>
      <c r="AJ352" s="146"/>
      <c r="AK352" s="146"/>
      <c r="AL352" s="146"/>
      <c r="AM352" s="206"/>
      <c r="AN352" s="146"/>
      <c r="AO352" s="149"/>
      <c r="AP352" s="150"/>
      <c r="AQ352" s="146"/>
      <c r="AR352" s="146"/>
      <c r="AS352" s="146"/>
      <c r="AT352" s="146"/>
      <c r="AU352" s="146"/>
      <c r="AV352" s="146"/>
      <c r="AW352" s="146"/>
      <c r="AX352" s="146"/>
      <c r="AY352" s="146"/>
      <c r="AZ352" s="146"/>
      <c r="BA352" s="147"/>
      <c r="BB352" s="146"/>
      <c r="BC352" s="147"/>
      <c r="BD352" s="147"/>
      <c r="BE352" s="147"/>
      <c r="BF352" s="147"/>
      <c r="BG352" s="147"/>
      <c r="BH352" s="151"/>
      <c r="BI352" s="147"/>
      <c r="BJ352" s="147"/>
      <c r="BK352" s="147"/>
      <c r="BL352" s="146"/>
      <c r="BM352" s="152"/>
      <c r="BN352" s="218"/>
      <c r="BO352" s="153"/>
      <c r="BP352" s="153"/>
      <c r="BQ352" s="219"/>
      <c r="BR352" s="146"/>
      <c r="BS352" s="146"/>
      <c r="BT352" s="146"/>
      <c r="BU352" s="146"/>
      <c r="BV352" s="219"/>
      <c r="BW352" s="146"/>
      <c r="BX352" s="146"/>
      <c r="BY352" s="146"/>
      <c r="BZ352" s="146"/>
      <c r="CA352" s="146"/>
      <c r="CB352" s="146"/>
      <c r="CC352" s="146"/>
      <c r="CD352" s="146"/>
      <c r="CE352" s="146"/>
      <c r="CF352" s="146"/>
      <c r="CG352" s="146"/>
      <c r="CH352" s="146"/>
      <c r="CI352" s="146"/>
      <c r="CJ352" s="146"/>
      <c r="CK352" s="146"/>
      <c r="CL352" s="146"/>
      <c r="CM352" s="146"/>
      <c r="CN352" s="146"/>
      <c r="CO352" s="146"/>
      <c r="CP352" s="146"/>
      <c r="CQ352" s="146"/>
      <c r="CR352" s="146"/>
      <c r="CS352" s="146"/>
      <c r="CT352" s="146"/>
      <c r="CU352" s="146"/>
    </row>
    <row r="353" spans="1:99" ht="16.399999999999999" customHeight="1" x14ac:dyDescent="0.35">
      <c r="A353" s="145"/>
      <c r="B353" s="145"/>
      <c r="C353" s="146"/>
      <c r="D353" s="146"/>
      <c r="E353" s="146"/>
      <c r="F353" s="146"/>
      <c r="G353" s="147"/>
      <c r="H353" s="216"/>
      <c r="I353" s="217"/>
      <c r="J353" s="146"/>
      <c r="K353" s="216"/>
      <c r="L353" s="153"/>
      <c r="M353" s="146"/>
      <c r="N353" s="148"/>
      <c r="O353" s="148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  <c r="AA353" s="146"/>
      <c r="AB353" s="146"/>
      <c r="AC353" s="146"/>
      <c r="AD353" s="146"/>
      <c r="AE353" s="146"/>
      <c r="AF353" s="146"/>
      <c r="AG353" s="146"/>
      <c r="AH353" s="146"/>
      <c r="AI353" s="146"/>
      <c r="AJ353" s="146"/>
      <c r="AK353" s="146"/>
      <c r="AL353" s="146"/>
      <c r="AM353" s="206"/>
      <c r="AN353" s="146"/>
      <c r="AO353" s="149"/>
      <c r="AP353" s="150"/>
      <c r="AQ353" s="146"/>
      <c r="AR353" s="146"/>
      <c r="AS353" s="146"/>
      <c r="AT353" s="146"/>
      <c r="AU353" s="146"/>
      <c r="AV353" s="146"/>
      <c r="AW353" s="146"/>
      <c r="AX353" s="146"/>
      <c r="AY353" s="146"/>
      <c r="AZ353" s="146"/>
      <c r="BA353" s="147"/>
      <c r="BB353" s="146"/>
      <c r="BC353" s="147"/>
      <c r="BD353" s="147"/>
      <c r="BE353" s="147"/>
      <c r="BF353" s="147"/>
      <c r="BG353" s="147"/>
      <c r="BH353" s="151"/>
      <c r="BI353" s="147"/>
      <c r="BJ353" s="147"/>
      <c r="BK353" s="147"/>
      <c r="BL353" s="146"/>
      <c r="BM353" s="152"/>
      <c r="BN353" s="218"/>
      <c r="BO353" s="153"/>
      <c r="BP353" s="153"/>
      <c r="BQ353" s="219"/>
      <c r="BR353" s="146"/>
      <c r="BS353" s="146"/>
      <c r="BT353" s="146"/>
      <c r="BU353" s="146"/>
      <c r="BV353" s="219"/>
      <c r="BW353" s="146"/>
      <c r="BX353" s="146"/>
      <c r="BY353" s="146"/>
      <c r="BZ353" s="146"/>
      <c r="CA353" s="146"/>
      <c r="CB353" s="146"/>
      <c r="CC353" s="146"/>
      <c r="CD353" s="146"/>
      <c r="CE353" s="146"/>
      <c r="CF353" s="146"/>
      <c r="CG353" s="146"/>
      <c r="CH353" s="146"/>
      <c r="CI353" s="146"/>
      <c r="CJ353" s="146"/>
      <c r="CK353" s="146"/>
      <c r="CL353" s="146"/>
      <c r="CM353" s="146"/>
      <c r="CN353" s="146"/>
      <c r="CO353" s="146"/>
      <c r="CP353" s="146"/>
      <c r="CQ353" s="146"/>
      <c r="CR353" s="146"/>
      <c r="CS353" s="146"/>
      <c r="CT353" s="146"/>
      <c r="CU353" s="146"/>
    </row>
    <row r="354" spans="1:99" ht="16.399999999999999" customHeight="1" x14ac:dyDescent="0.35">
      <c r="A354" s="145"/>
      <c r="B354" s="145"/>
      <c r="C354" s="146"/>
      <c r="D354" s="146"/>
      <c r="E354" s="146"/>
      <c r="F354" s="146"/>
      <c r="G354" s="147"/>
      <c r="H354" s="216"/>
      <c r="I354" s="217"/>
      <c r="J354" s="146"/>
      <c r="K354" s="216"/>
      <c r="L354" s="153"/>
      <c r="M354" s="146"/>
      <c r="N354" s="148"/>
      <c r="O354" s="148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  <c r="AA354" s="146"/>
      <c r="AB354" s="146"/>
      <c r="AC354" s="146"/>
      <c r="AD354" s="146"/>
      <c r="AE354" s="146"/>
      <c r="AF354" s="146"/>
      <c r="AG354" s="146"/>
      <c r="AH354" s="146"/>
      <c r="AI354" s="146"/>
      <c r="AJ354" s="146"/>
      <c r="AK354" s="146"/>
      <c r="AL354" s="146"/>
      <c r="AM354" s="206"/>
      <c r="AN354" s="146"/>
      <c r="AO354" s="149"/>
      <c r="AP354" s="150"/>
      <c r="AQ354" s="146"/>
      <c r="AR354" s="146"/>
      <c r="AS354" s="146"/>
      <c r="AT354" s="146"/>
      <c r="AU354" s="146"/>
      <c r="AV354" s="146"/>
      <c r="AW354" s="146"/>
      <c r="AX354" s="146"/>
      <c r="AY354" s="146"/>
      <c r="AZ354" s="146"/>
      <c r="BA354" s="147"/>
      <c r="BB354" s="146"/>
      <c r="BC354" s="147"/>
      <c r="BD354" s="147"/>
      <c r="BE354" s="147"/>
      <c r="BF354" s="147"/>
      <c r="BG354" s="147"/>
      <c r="BH354" s="151"/>
      <c r="BI354" s="147"/>
      <c r="BJ354" s="147"/>
      <c r="BK354" s="147"/>
      <c r="BL354" s="146"/>
      <c r="BM354" s="152"/>
      <c r="BN354" s="218"/>
      <c r="BO354" s="153"/>
      <c r="BP354" s="153"/>
      <c r="BQ354" s="219"/>
      <c r="BR354" s="146"/>
      <c r="BS354" s="146"/>
      <c r="BT354" s="146"/>
      <c r="BU354" s="146"/>
      <c r="BV354" s="219"/>
      <c r="BW354" s="146"/>
      <c r="BX354" s="146"/>
      <c r="BY354" s="146"/>
      <c r="BZ354" s="146"/>
      <c r="CA354" s="146"/>
      <c r="CB354" s="146"/>
      <c r="CC354" s="146"/>
      <c r="CD354" s="146"/>
      <c r="CE354" s="146"/>
      <c r="CF354" s="146"/>
      <c r="CG354" s="146"/>
      <c r="CH354" s="146"/>
      <c r="CI354" s="146"/>
      <c r="CJ354" s="146"/>
      <c r="CK354" s="146"/>
      <c r="CL354" s="146"/>
      <c r="CM354" s="146"/>
      <c r="CN354" s="146"/>
      <c r="CO354" s="146"/>
      <c r="CP354" s="146"/>
      <c r="CQ354" s="146"/>
      <c r="CR354" s="146"/>
      <c r="CS354" s="146"/>
      <c r="CT354" s="146"/>
      <c r="CU354" s="146"/>
    </row>
    <row r="355" spans="1:99" ht="16.399999999999999" customHeight="1" x14ac:dyDescent="0.35">
      <c r="A355" s="145"/>
      <c r="B355" s="145"/>
      <c r="C355" s="146"/>
      <c r="D355" s="146"/>
      <c r="E355" s="146"/>
      <c r="F355" s="146"/>
      <c r="G355" s="147"/>
      <c r="H355" s="216"/>
      <c r="I355" s="217"/>
      <c r="J355" s="146"/>
      <c r="K355" s="216"/>
      <c r="L355" s="153"/>
      <c r="M355" s="146"/>
      <c r="N355" s="148"/>
      <c r="O355" s="148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  <c r="AA355" s="146"/>
      <c r="AB355" s="146"/>
      <c r="AC355" s="146"/>
      <c r="AD355" s="146"/>
      <c r="AE355" s="146"/>
      <c r="AF355" s="146"/>
      <c r="AG355" s="146"/>
      <c r="AH355" s="146"/>
      <c r="AI355" s="146"/>
      <c r="AJ355" s="146"/>
      <c r="AK355" s="146"/>
      <c r="AL355" s="146"/>
      <c r="AM355" s="206"/>
      <c r="AN355" s="146"/>
      <c r="AO355" s="149"/>
      <c r="AP355" s="150"/>
      <c r="AQ355" s="146"/>
      <c r="AR355" s="146"/>
      <c r="AS355" s="146"/>
      <c r="AT355" s="146"/>
      <c r="AU355" s="146"/>
      <c r="AV355" s="146"/>
      <c r="AW355" s="146"/>
      <c r="AX355" s="146"/>
      <c r="AY355" s="146"/>
      <c r="AZ355" s="146"/>
      <c r="BA355" s="147"/>
      <c r="BB355" s="146"/>
      <c r="BC355" s="147"/>
      <c r="BD355" s="147"/>
      <c r="BE355" s="147"/>
      <c r="BF355" s="147"/>
      <c r="BG355" s="147"/>
      <c r="BH355" s="151"/>
      <c r="BI355" s="147"/>
      <c r="BJ355" s="147"/>
      <c r="BK355" s="147"/>
      <c r="BL355" s="146"/>
      <c r="BM355" s="152"/>
      <c r="BN355" s="218"/>
      <c r="BO355" s="153"/>
      <c r="BP355" s="153"/>
      <c r="BQ355" s="219"/>
      <c r="BR355" s="146"/>
      <c r="BS355" s="146"/>
      <c r="BT355" s="146"/>
      <c r="BU355" s="146"/>
      <c r="BV355" s="219"/>
      <c r="BW355" s="146"/>
      <c r="BX355" s="146"/>
      <c r="BY355" s="146"/>
      <c r="BZ355" s="146"/>
      <c r="CA355" s="146"/>
      <c r="CB355" s="146"/>
      <c r="CC355" s="146"/>
      <c r="CD355" s="146"/>
      <c r="CE355" s="146"/>
      <c r="CF355" s="146"/>
      <c r="CG355" s="146"/>
      <c r="CH355" s="146"/>
      <c r="CI355" s="146"/>
      <c r="CJ355" s="146"/>
      <c r="CK355" s="146"/>
      <c r="CL355" s="146"/>
      <c r="CM355" s="146"/>
      <c r="CN355" s="146"/>
      <c r="CO355" s="146"/>
      <c r="CP355" s="146"/>
      <c r="CQ355" s="146"/>
      <c r="CR355" s="146"/>
      <c r="CS355" s="146"/>
      <c r="CT355" s="146"/>
      <c r="CU355" s="146"/>
    </row>
    <row r="356" spans="1:99" ht="16.399999999999999" customHeight="1" x14ac:dyDescent="0.35">
      <c r="A356" s="145"/>
      <c r="B356" s="145"/>
      <c r="C356" s="146"/>
      <c r="D356" s="146"/>
      <c r="E356" s="146"/>
      <c r="F356" s="146"/>
      <c r="G356" s="147"/>
      <c r="H356" s="216"/>
      <c r="I356" s="217"/>
      <c r="J356" s="146"/>
      <c r="K356" s="216"/>
      <c r="L356" s="153"/>
      <c r="M356" s="146"/>
      <c r="N356" s="148"/>
      <c r="O356" s="148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206"/>
      <c r="AN356" s="146"/>
      <c r="AO356" s="149"/>
      <c r="AP356" s="150"/>
      <c r="AQ356" s="146"/>
      <c r="AR356" s="146"/>
      <c r="AS356" s="146"/>
      <c r="AT356" s="146"/>
      <c r="AU356" s="146"/>
      <c r="AV356" s="146"/>
      <c r="AW356" s="146"/>
      <c r="AX356" s="146"/>
      <c r="AY356" s="146"/>
      <c r="AZ356" s="146"/>
      <c r="BA356" s="147"/>
      <c r="BB356" s="146"/>
      <c r="BC356" s="147"/>
      <c r="BD356" s="147"/>
      <c r="BE356" s="147"/>
      <c r="BF356" s="147"/>
      <c r="BG356" s="147"/>
      <c r="BH356" s="151"/>
      <c r="BI356" s="147"/>
      <c r="BJ356" s="147"/>
      <c r="BK356" s="147"/>
      <c r="BL356" s="146"/>
      <c r="BM356" s="152"/>
      <c r="BN356" s="218"/>
      <c r="BO356" s="153"/>
      <c r="BP356" s="153"/>
      <c r="BQ356" s="219"/>
      <c r="BR356" s="146"/>
      <c r="BS356" s="146"/>
      <c r="BT356" s="146"/>
      <c r="BU356" s="146"/>
      <c r="BV356" s="219"/>
      <c r="BW356" s="146"/>
      <c r="BX356" s="146"/>
      <c r="BY356" s="146"/>
      <c r="BZ356" s="146"/>
      <c r="CA356" s="146"/>
      <c r="CB356" s="146"/>
      <c r="CC356" s="146"/>
      <c r="CD356" s="146"/>
      <c r="CE356" s="146"/>
      <c r="CF356" s="146"/>
      <c r="CG356" s="146"/>
      <c r="CH356" s="146"/>
      <c r="CI356" s="146"/>
      <c r="CJ356" s="146"/>
      <c r="CK356" s="146"/>
      <c r="CL356" s="146"/>
      <c r="CM356" s="146"/>
      <c r="CN356" s="146"/>
      <c r="CO356" s="146"/>
      <c r="CP356" s="146"/>
      <c r="CQ356" s="146"/>
      <c r="CR356" s="146"/>
      <c r="CS356" s="146"/>
      <c r="CT356" s="146"/>
      <c r="CU356" s="146"/>
    </row>
    <row r="357" spans="1:99" ht="16.399999999999999" customHeight="1" x14ac:dyDescent="0.35">
      <c r="A357" s="145"/>
      <c r="B357" s="145"/>
      <c r="C357" s="146"/>
      <c r="D357" s="146"/>
      <c r="E357" s="146"/>
      <c r="F357" s="146"/>
      <c r="G357" s="147"/>
      <c r="H357" s="216"/>
      <c r="I357" s="217"/>
      <c r="J357" s="146"/>
      <c r="K357" s="216"/>
      <c r="L357" s="153"/>
      <c r="M357" s="146"/>
      <c r="N357" s="148"/>
      <c r="O357" s="148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  <c r="AA357" s="146"/>
      <c r="AB357" s="146"/>
      <c r="AC357" s="146"/>
      <c r="AD357" s="146"/>
      <c r="AE357" s="146"/>
      <c r="AF357" s="146"/>
      <c r="AG357" s="146"/>
      <c r="AH357" s="146"/>
      <c r="AI357" s="146"/>
      <c r="AJ357" s="146"/>
      <c r="AK357" s="146"/>
      <c r="AL357" s="146"/>
      <c r="AM357" s="206"/>
      <c r="AN357" s="146"/>
      <c r="AO357" s="149"/>
      <c r="AP357" s="150"/>
      <c r="AQ357" s="146"/>
      <c r="AR357" s="146"/>
      <c r="AS357" s="146"/>
      <c r="AT357" s="146"/>
      <c r="AU357" s="146"/>
      <c r="AV357" s="146"/>
      <c r="AW357" s="146"/>
      <c r="AX357" s="146"/>
      <c r="AY357" s="146"/>
      <c r="AZ357" s="146"/>
      <c r="BA357" s="147"/>
      <c r="BB357" s="146"/>
      <c r="BC357" s="147"/>
      <c r="BD357" s="147"/>
      <c r="BE357" s="147"/>
      <c r="BF357" s="147"/>
      <c r="BG357" s="147"/>
      <c r="BH357" s="151"/>
      <c r="BI357" s="147"/>
      <c r="BJ357" s="147"/>
      <c r="BK357" s="147"/>
      <c r="BL357" s="146"/>
      <c r="BM357" s="152"/>
      <c r="BN357" s="218"/>
      <c r="BO357" s="153"/>
      <c r="BP357" s="153"/>
      <c r="BQ357" s="219"/>
      <c r="BR357" s="146"/>
      <c r="BS357" s="146"/>
      <c r="BT357" s="146"/>
      <c r="BU357" s="146"/>
      <c r="BV357" s="219"/>
      <c r="BW357" s="146"/>
      <c r="BX357" s="146"/>
      <c r="BY357" s="146"/>
      <c r="BZ357" s="146"/>
      <c r="CA357" s="146"/>
      <c r="CB357" s="146"/>
      <c r="CC357" s="146"/>
      <c r="CD357" s="146"/>
      <c r="CE357" s="146"/>
      <c r="CF357" s="146"/>
      <c r="CG357" s="146"/>
      <c r="CH357" s="146"/>
      <c r="CI357" s="146"/>
      <c r="CJ357" s="146"/>
      <c r="CK357" s="146"/>
      <c r="CL357" s="146"/>
      <c r="CM357" s="146"/>
      <c r="CN357" s="146"/>
      <c r="CO357" s="146"/>
      <c r="CP357" s="146"/>
      <c r="CQ357" s="146"/>
      <c r="CR357" s="146"/>
      <c r="CS357" s="146"/>
      <c r="CT357" s="146"/>
      <c r="CU357" s="146"/>
    </row>
    <row r="358" spans="1:99" ht="16.399999999999999" customHeight="1" x14ac:dyDescent="0.35">
      <c r="A358" s="145"/>
      <c r="B358" s="145"/>
      <c r="C358" s="146"/>
      <c r="D358" s="146"/>
      <c r="E358" s="146"/>
      <c r="F358" s="146"/>
      <c r="G358" s="147"/>
      <c r="H358" s="216"/>
      <c r="I358" s="217"/>
      <c r="J358" s="146"/>
      <c r="K358" s="216"/>
      <c r="L358" s="153"/>
      <c r="M358" s="146"/>
      <c r="N358" s="148"/>
      <c r="O358" s="148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  <c r="AA358" s="146"/>
      <c r="AB358" s="146"/>
      <c r="AC358" s="146"/>
      <c r="AD358" s="146"/>
      <c r="AE358" s="146"/>
      <c r="AF358" s="146"/>
      <c r="AG358" s="146"/>
      <c r="AH358" s="146"/>
      <c r="AI358" s="146"/>
      <c r="AJ358" s="146"/>
      <c r="AK358" s="146"/>
      <c r="AL358" s="146"/>
      <c r="AM358" s="206"/>
      <c r="AN358" s="146"/>
      <c r="AO358" s="149"/>
      <c r="AP358" s="150"/>
      <c r="AQ358" s="146"/>
      <c r="AR358" s="146"/>
      <c r="AS358" s="146"/>
      <c r="AT358" s="146"/>
      <c r="AU358" s="146"/>
      <c r="AV358" s="146"/>
      <c r="AW358" s="146"/>
      <c r="AX358" s="146"/>
      <c r="AY358" s="146"/>
      <c r="AZ358" s="146"/>
      <c r="BA358" s="147"/>
      <c r="BB358" s="146"/>
      <c r="BC358" s="147"/>
      <c r="BD358" s="147"/>
      <c r="BE358" s="147"/>
      <c r="BF358" s="147"/>
      <c r="BG358" s="147"/>
      <c r="BH358" s="151"/>
      <c r="BI358" s="147"/>
      <c r="BJ358" s="147"/>
      <c r="BK358" s="147"/>
      <c r="BL358" s="146"/>
      <c r="BM358" s="152"/>
      <c r="BN358" s="218"/>
      <c r="BO358" s="153"/>
      <c r="BP358" s="153"/>
      <c r="BQ358" s="219"/>
      <c r="BR358" s="146"/>
      <c r="BS358" s="146"/>
      <c r="BT358" s="146"/>
      <c r="BU358" s="146"/>
      <c r="BV358" s="219"/>
      <c r="BW358" s="146"/>
      <c r="BX358" s="146"/>
      <c r="BY358" s="146"/>
      <c r="BZ358" s="146"/>
      <c r="CA358" s="146"/>
      <c r="CB358" s="146"/>
      <c r="CC358" s="146"/>
      <c r="CD358" s="146"/>
      <c r="CE358" s="146"/>
      <c r="CF358" s="146"/>
      <c r="CG358" s="146"/>
      <c r="CH358" s="146"/>
      <c r="CI358" s="146"/>
      <c r="CJ358" s="146"/>
      <c r="CK358" s="146"/>
      <c r="CL358" s="146"/>
      <c r="CM358" s="146"/>
      <c r="CN358" s="146"/>
      <c r="CO358" s="146"/>
      <c r="CP358" s="146"/>
      <c r="CQ358" s="146"/>
      <c r="CR358" s="146"/>
      <c r="CS358" s="146"/>
      <c r="CT358" s="146"/>
      <c r="CU358" s="146"/>
    </row>
    <row r="359" spans="1:99" ht="16.399999999999999" customHeight="1" x14ac:dyDescent="0.35">
      <c r="A359" s="145"/>
      <c r="B359" s="145"/>
      <c r="C359" s="146"/>
      <c r="D359" s="146"/>
      <c r="E359" s="146"/>
      <c r="F359" s="146"/>
      <c r="G359" s="147"/>
      <c r="H359" s="216"/>
      <c r="I359" s="217"/>
      <c r="J359" s="146"/>
      <c r="K359" s="216"/>
      <c r="L359" s="153"/>
      <c r="M359" s="146"/>
      <c r="N359" s="148"/>
      <c r="O359" s="148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  <c r="AA359" s="146"/>
      <c r="AB359" s="146"/>
      <c r="AC359" s="146"/>
      <c r="AD359" s="146"/>
      <c r="AE359" s="146"/>
      <c r="AF359" s="146"/>
      <c r="AG359" s="146"/>
      <c r="AH359" s="146"/>
      <c r="AI359" s="146"/>
      <c r="AJ359" s="146"/>
      <c r="AK359" s="146"/>
      <c r="AL359" s="146"/>
      <c r="AM359" s="206"/>
      <c r="AN359" s="146"/>
      <c r="AO359" s="149"/>
      <c r="AP359" s="150"/>
      <c r="AQ359" s="146"/>
      <c r="AR359" s="146"/>
      <c r="AS359" s="146"/>
      <c r="AT359" s="146"/>
      <c r="AU359" s="146"/>
      <c r="AV359" s="146"/>
      <c r="AW359" s="146"/>
      <c r="AX359" s="146"/>
      <c r="AY359" s="146"/>
      <c r="AZ359" s="146"/>
      <c r="BA359" s="147"/>
      <c r="BB359" s="146"/>
      <c r="BC359" s="147"/>
      <c r="BD359" s="147"/>
      <c r="BE359" s="147"/>
      <c r="BF359" s="147"/>
      <c r="BG359" s="147"/>
      <c r="BH359" s="151"/>
      <c r="BI359" s="147"/>
      <c r="BJ359" s="147"/>
      <c r="BK359" s="147"/>
      <c r="BL359" s="146"/>
      <c r="BM359" s="152"/>
      <c r="BN359" s="218"/>
      <c r="BO359" s="153"/>
      <c r="BP359" s="153"/>
      <c r="BQ359" s="219"/>
      <c r="BR359" s="146"/>
      <c r="BS359" s="146"/>
      <c r="BT359" s="146"/>
      <c r="BU359" s="146"/>
      <c r="BV359" s="219"/>
      <c r="BW359" s="146"/>
      <c r="BX359" s="146"/>
      <c r="BY359" s="146"/>
      <c r="BZ359" s="146"/>
      <c r="CA359" s="146"/>
      <c r="CB359" s="146"/>
      <c r="CC359" s="146"/>
      <c r="CD359" s="146"/>
      <c r="CE359" s="146"/>
      <c r="CF359" s="146"/>
      <c r="CG359" s="146"/>
      <c r="CH359" s="146"/>
      <c r="CI359" s="146"/>
      <c r="CJ359" s="146"/>
      <c r="CK359" s="146"/>
      <c r="CL359" s="146"/>
      <c r="CM359" s="146"/>
      <c r="CN359" s="146"/>
      <c r="CO359" s="146"/>
      <c r="CP359" s="146"/>
      <c r="CQ359" s="146"/>
      <c r="CR359" s="146"/>
      <c r="CS359" s="146"/>
      <c r="CT359" s="146"/>
      <c r="CU359" s="146"/>
    </row>
    <row r="360" spans="1:99" ht="16.399999999999999" customHeight="1" x14ac:dyDescent="0.35">
      <c r="A360" s="145"/>
      <c r="B360" s="145"/>
      <c r="C360" s="146"/>
      <c r="D360" s="146"/>
      <c r="E360" s="146"/>
      <c r="F360" s="146"/>
      <c r="G360" s="147"/>
      <c r="H360" s="216"/>
      <c r="I360" s="217"/>
      <c r="J360" s="146"/>
      <c r="K360" s="216"/>
      <c r="L360" s="153"/>
      <c r="M360" s="146"/>
      <c r="N360" s="148"/>
      <c r="O360" s="148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  <c r="AD360" s="146"/>
      <c r="AE360" s="146"/>
      <c r="AF360" s="146"/>
      <c r="AG360" s="146"/>
      <c r="AH360" s="146"/>
      <c r="AI360" s="146"/>
      <c r="AJ360" s="146"/>
      <c r="AK360" s="146"/>
      <c r="AL360" s="146"/>
      <c r="AM360" s="206"/>
      <c r="AN360" s="146"/>
      <c r="AO360" s="149"/>
      <c r="AP360" s="150"/>
      <c r="AQ360" s="146"/>
      <c r="AR360" s="146"/>
      <c r="AS360" s="146"/>
      <c r="AT360" s="146"/>
      <c r="AU360" s="146"/>
      <c r="AV360" s="146"/>
      <c r="AW360" s="146"/>
      <c r="AX360" s="146"/>
      <c r="AY360" s="146"/>
      <c r="AZ360" s="146"/>
      <c r="BA360" s="147"/>
      <c r="BB360" s="146"/>
      <c r="BC360" s="147"/>
      <c r="BD360" s="147"/>
      <c r="BE360" s="147"/>
      <c r="BF360" s="147"/>
      <c r="BG360" s="147"/>
      <c r="BH360" s="151"/>
      <c r="BI360" s="147"/>
      <c r="BJ360" s="147"/>
      <c r="BK360" s="147"/>
      <c r="BL360" s="146"/>
      <c r="BM360" s="152"/>
      <c r="BN360" s="218"/>
      <c r="BO360" s="153"/>
      <c r="BP360" s="153"/>
      <c r="BQ360" s="219"/>
      <c r="BR360" s="146"/>
      <c r="BS360" s="146"/>
      <c r="BT360" s="146"/>
      <c r="BU360" s="146"/>
      <c r="BV360" s="219"/>
      <c r="BW360" s="146"/>
      <c r="BX360" s="146"/>
      <c r="BY360" s="146"/>
      <c r="BZ360" s="146"/>
      <c r="CA360" s="146"/>
      <c r="CB360" s="146"/>
      <c r="CC360" s="146"/>
      <c r="CD360" s="146"/>
      <c r="CE360" s="146"/>
      <c r="CF360" s="146"/>
      <c r="CG360" s="146"/>
      <c r="CH360" s="146"/>
      <c r="CI360" s="146"/>
      <c r="CJ360" s="146"/>
      <c r="CK360" s="146"/>
      <c r="CL360" s="146"/>
      <c r="CM360" s="146"/>
      <c r="CN360" s="146"/>
      <c r="CO360" s="146"/>
      <c r="CP360" s="146"/>
      <c r="CQ360" s="146"/>
      <c r="CR360" s="146"/>
      <c r="CS360" s="146"/>
      <c r="CT360" s="146"/>
      <c r="CU360" s="146"/>
    </row>
    <row r="361" spans="1:99" ht="16.399999999999999" customHeight="1" x14ac:dyDescent="0.35">
      <c r="A361" s="145"/>
      <c r="B361" s="145"/>
      <c r="C361" s="146"/>
      <c r="D361" s="146"/>
      <c r="E361" s="146"/>
      <c r="F361" s="146"/>
      <c r="G361" s="147"/>
      <c r="H361" s="216"/>
      <c r="I361" s="217"/>
      <c r="J361" s="146"/>
      <c r="K361" s="216"/>
      <c r="L361" s="153"/>
      <c r="M361" s="146"/>
      <c r="N361" s="148"/>
      <c r="O361" s="148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  <c r="AA361" s="146"/>
      <c r="AB361" s="146"/>
      <c r="AC361" s="146"/>
      <c r="AD361" s="146"/>
      <c r="AE361" s="146"/>
      <c r="AF361" s="146"/>
      <c r="AG361" s="146"/>
      <c r="AH361" s="146"/>
      <c r="AI361" s="146"/>
      <c r="AJ361" s="146"/>
      <c r="AK361" s="146"/>
      <c r="AL361" s="146"/>
      <c r="AM361" s="206"/>
      <c r="AN361" s="146"/>
      <c r="AO361" s="149"/>
      <c r="AP361" s="150"/>
      <c r="AQ361" s="146"/>
      <c r="AR361" s="146"/>
      <c r="AS361" s="146"/>
      <c r="AT361" s="146"/>
      <c r="AU361" s="146"/>
      <c r="AV361" s="146"/>
      <c r="AW361" s="146"/>
      <c r="AX361" s="146"/>
      <c r="AY361" s="146"/>
      <c r="AZ361" s="146"/>
      <c r="BA361" s="147"/>
      <c r="BB361" s="146"/>
      <c r="BC361" s="147"/>
      <c r="BD361" s="147"/>
      <c r="BE361" s="147"/>
      <c r="BF361" s="147"/>
      <c r="BG361" s="147"/>
      <c r="BH361" s="151"/>
      <c r="BI361" s="147"/>
      <c r="BJ361" s="147"/>
      <c r="BK361" s="147"/>
      <c r="BL361" s="146"/>
      <c r="BM361" s="152"/>
      <c r="BN361" s="218"/>
      <c r="BO361" s="153"/>
      <c r="BP361" s="153"/>
      <c r="BQ361" s="219"/>
      <c r="BR361" s="146"/>
      <c r="BS361" s="146"/>
      <c r="BT361" s="146"/>
      <c r="BU361" s="146"/>
      <c r="BV361" s="219"/>
      <c r="BW361" s="146"/>
      <c r="BX361" s="146"/>
      <c r="BY361" s="146"/>
      <c r="BZ361" s="146"/>
      <c r="CA361" s="146"/>
      <c r="CB361" s="146"/>
      <c r="CC361" s="146"/>
      <c r="CD361" s="146"/>
      <c r="CE361" s="146"/>
      <c r="CF361" s="146"/>
      <c r="CG361" s="146"/>
      <c r="CH361" s="146"/>
      <c r="CI361" s="146"/>
      <c r="CJ361" s="146"/>
      <c r="CK361" s="146"/>
      <c r="CL361" s="146"/>
      <c r="CM361" s="146"/>
      <c r="CN361" s="146"/>
      <c r="CO361" s="146"/>
      <c r="CP361" s="146"/>
      <c r="CQ361" s="146"/>
      <c r="CR361" s="146"/>
      <c r="CS361" s="146"/>
      <c r="CT361" s="146"/>
      <c r="CU361" s="146"/>
    </row>
    <row r="362" spans="1:99" ht="16.399999999999999" customHeight="1" x14ac:dyDescent="0.35">
      <c r="A362" s="145"/>
      <c r="B362" s="145"/>
      <c r="C362" s="146"/>
      <c r="D362" s="146"/>
      <c r="E362" s="146"/>
      <c r="F362" s="146"/>
      <c r="G362" s="147"/>
      <c r="H362" s="216"/>
      <c r="I362" s="217"/>
      <c r="J362" s="146"/>
      <c r="K362" s="216"/>
      <c r="L362" s="153"/>
      <c r="M362" s="146"/>
      <c r="N362" s="148"/>
      <c r="O362" s="148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  <c r="AA362" s="146"/>
      <c r="AB362" s="146"/>
      <c r="AC362" s="146"/>
      <c r="AD362" s="146"/>
      <c r="AE362" s="146"/>
      <c r="AF362" s="146"/>
      <c r="AG362" s="146"/>
      <c r="AH362" s="146"/>
      <c r="AI362" s="146"/>
      <c r="AJ362" s="146"/>
      <c r="AK362" s="146"/>
      <c r="AL362" s="146"/>
      <c r="AM362" s="206"/>
      <c r="AN362" s="146"/>
      <c r="AO362" s="149"/>
      <c r="AP362" s="150"/>
      <c r="AQ362" s="146"/>
      <c r="AR362" s="146"/>
      <c r="AS362" s="146"/>
      <c r="AT362" s="146"/>
      <c r="AU362" s="146"/>
      <c r="AV362" s="146"/>
      <c r="AW362" s="146"/>
      <c r="AX362" s="146"/>
      <c r="AY362" s="146"/>
      <c r="AZ362" s="146"/>
      <c r="BA362" s="147"/>
      <c r="BB362" s="146"/>
      <c r="BC362" s="147"/>
      <c r="BD362" s="147"/>
      <c r="BE362" s="147"/>
      <c r="BF362" s="147"/>
      <c r="BG362" s="147"/>
      <c r="BH362" s="151"/>
      <c r="BI362" s="147"/>
      <c r="BJ362" s="147"/>
      <c r="BK362" s="147"/>
      <c r="BL362" s="146"/>
      <c r="BM362" s="152"/>
      <c r="BN362" s="218"/>
      <c r="BO362" s="153"/>
      <c r="BP362" s="153"/>
      <c r="BQ362" s="219"/>
      <c r="BR362" s="146"/>
      <c r="BS362" s="146"/>
      <c r="BT362" s="146"/>
      <c r="BU362" s="146"/>
      <c r="BV362" s="219"/>
      <c r="BW362" s="146"/>
      <c r="BX362" s="146"/>
      <c r="BY362" s="146"/>
      <c r="BZ362" s="146"/>
      <c r="CA362" s="146"/>
      <c r="CB362" s="146"/>
      <c r="CC362" s="146"/>
      <c r="CD362" s="146"/>
      <c r="CE362" s="146"/>
      <c r="CF362" s="146"/>
      <c r="CG362" s="146"/>
      <c r="CH362" s="146"/>
      <c r="CI362" s="146"/>
      <c r="CJ362" s="146"/>
      <c r="CK362" s="146"/>
      <c r="CL362" s="146"/>
      <c r="CM362" s="146"/>
      <c r="CN362" s="146"/>
      <c r="CO362" s="146"/>
      <c r="CP362" s="146"/>
      <c r="CQ362" s="146"/>
      <c r="CR362" s="146"/>
      <c r="CS362" s="146"/>
      <c r="CT362" s="146"/>
      <c r="CU362" s="146"/>
    </row>
    <row r="363" spans="1:99" ht="16.399999999999999" customHeight="1" x14ac:dyDescent="0.35">
      <c r="A363" s="145"/>
      <c r="B363" s="145"/>
      <c r="C363" s="146"/>
      <c r="D363" s="146"/>
      <c r="E363" s="146"/>
      <c r="F363" s="146"/>
      <c r="G363" s="147"/>
      <c r="H363" s="216"/>
      <c r="I363" s="217"/>
      <c r="J363" s="146"/>
      <c r="K363" s="216"/>
      <c r="L363" s="153"/>
      <c r="M363" s="146"/>
      <c r="N363" s="148"/>
      <c r="O363" s="148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  <c r="AA363" s="146"/>
      <c r="AB363" s="146"/>
      <c r="AC363" s="146"/>
      <c r="AD363" s="146"/>
      <c r="AE363" s="146"/>
      <c r="AF363" s="146"/>
      <c r="AG363" s="146"/>
      <c r="AH363" s="146"/>
      <c r="AI363" s="146"/>
      <c r="AJ363" s="146"/>
      <c r="AK363" s="146"/>
      <c r="AL363" s="146"/>
      <c r="AM363" s="206"/>
      <c r="AN363" s="146"/>
      <c r="AO363" s="149"/>
      <c r="AP363" s="150"/>
      <c r="AQ363" s="146"/>
      <c r="AR363" s="146"/>
      <c r="AS363" s="146"/>
      <c r="AT363" s="146"/>
      <c r="AU363" s="146"/>
      <c r="AV363" s="146"/>
      <c r="AW363" s="146"/>
      <c r="AX363" s="146"/>
      <c r="AY363" s="146"/>
      <c r="AZ363" s="146"/>
      <c r="BA363" s="147"/>
      <c r="BB363" s="146"/>
      <c r="BC363" s="147"/>
      <c r="BD363" s="147"/>
      <c r="BE363" s="147"/>
      <c r="BF363" s="147"/>
      <c r="BG363" s="147"/>
      <c r="BH363" s="151"/>
      <c r="BI363" s="147"/>
      <c r="BJ363" s="147"/>
      <c r="BK363" s="147"/>
      <c r="BL363" s="146"/>
      <c r="BM363" s="152"/>
      <c r="BN363" s="218"/>
      <c r="BO363" s="153"/>
      <c r="BP363" s="153"/>
      <c r="BQ363" s="219"/>
      <c r="BR363" s="146"/>
      <c r="BS363" s="146"/>
      <c r="BT363" s="146"/>
      <c r="BU363" s="146"/>
      <c r="BV363" s="219"/>
      <c r="BW363" s="146"/>
      <c r="BX363" s="146"/>
      <c r="BY363" s="146"/>
      <c r="BZ363" s="146"/>
      <c r="CA363" s="146"/>
      <c r="CB363" s="146"/>
      <c r="CC363" s="146"/>
      <c r="CD363" s="146"/>
      <c r="CE363" s="146"/>
      <c r="CF363" s="146"/>
      <c r="CG363" s="146"/>
      <c r="CH363" s="146"/>
      <c r="CI363" s="146"/>
      <c r="CJ363" s="146"/>
      <c r="CK363" s="146"/>
      <c r="CL363" s="146"/>
      <c r="CM363" s="146"/>
      <c r="CN363" s="146"/>
      <c r="CO363" s="146"/>
      <c r="CP363" s="146"/>
      <c r="CQ363" s="146"/>
      <c r="CR363" s="146"/>
      <c r="CS363" s="146"/>
      <c r="CT363" s="146"/>
      <c r="CU363" s="146"/>
    </row>
    <row r="364" spans="1:99" ht="16.399999999999999" customHeight="1" x14ac:dyDescent="0.35">
      <c r="A364" s="145"/>
      <c r="B364" s="145"/>
      <c r="C364" s="146"/>
      <c r="D364" s="146"/>
      <c r="E364" s="146"/>
      <c r="F364" s="146"/>
      <c r="G364" s="147"/>
      <c r="H364" s="216"/>
      <c r="I364" s="217"/>
      <c r="J364" s="146"/>
      <c r="K364" s="216"/>
      <c r="L364" s="153"/>
      <c r="M364" s="146"/>
      <c r="N364" s="148"/>
      <c r="O364" s="148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46"/>
      <c r="AB364" s="146"/>
      <c r="AC364" s="146"/>
      <c r="AD364" s="146"/>
      <c r="AE364" s="146"/>
      <c r="AF364" s="146"/>
      <c r="AG364" s="146"/>
      <c r="AH364" s="146"/>
      <c r="AI364" s="146"/>
      <c r="AJ364" s="146"/>
      <c r="AK364" s="146"/>
      <c r="AL364" s="146"/>
      <c r="AM364" s="206"/>
      <c r="AN364" s="146"/>
      <c r="AO364" s="149"/>
      <c r="AP364" s="150"/>
      <c r="AQ364" s="146"/>
      <c r="AR364" s="146"/>
      <c r="AS364" s="146"/>
      <c r="AT364" s="146"/>
      <c r="AU364" s="146"/>
      <c r="AV364" s="146"/>
      <c r="AW364" s="146"/>
      <c r="AX364" s="146"/>
      <c r="AY364" s="146"/>
      <c r="AZ364" s="146"/>
      <c r="BA364" s="147"/>
      <c r="BB364" s="146"/>
      <c r="BC364" s="147"/>
      <c r="BD364" s="147"/>
      <c r="BE364" s="147"/>
      <c r="BF364" s="147"/>
      <c r="BG364" s="147"/>
      <c r="BH364" s="151"/>
      <c r="BI364" s="147"/>
      <c r="BJ364" s="147"/>
      <c r="BK364" s="147"/>
      <c r="BL364" s="146"/>
      <c r="BM364" s="152"/>
      <c r="BN364" s="218"/>
      <c r="BO364" s="153"/>
      <c r="BP364" s="153"/>
      <c r="BQ364" s="219"/>
      <c r="BR364" s="146"/>
      <c r="BS364" s="146"/>
      <c r="BT364" s="146"/>
      <c r="BU364" s="146"/>
      <c r="BV364" s="219"/>
      <c r="BW364" s="146"/>
      <c r="BX364" s="146"/>
      <c r="BY364" s="146"/>
      <c r="BZ364" s="146"/>
      <c r="CA364" s="146"/>
      <c r="CB364" s="146"/>
      <c r="CC364" s="146"/>
      <c r="CD364" s="146"/>
      <c r="CE364" s="146"/>
      <c r="CF364" s="146"/>
      <c r="CG364" s="146"/>
      <c r="CH364" s="146"/>
      <c r="CI364" s="146"/>
      <c r="CJ364" s="146"/>
      <c r="CK364" s="146"/>
      <c r="CL364" s="146"/>
      <c r="CM364" s="146"/>
      <c r="CN364" s="146"/>
      <c r="CO364" s="146"/>
      <c r="CP364" s="146"/>
      <c r="CQ364" s="146"/>
      <c r="CR364" s="146"/>
      <c r="CS364" s="146"/>
      <c r="CT364" s="146"/>
      <c r="CU364" s="146"/>
    </row>
    <row r="365" spans="1:99" ht="16.399999999999999" customHeight="1" x14ac:dyDescent="0.35">
      <c r="A365" s="145"/>
      <c r="B365" s="145"/>
      <c r="C365" s="146"/>
      <c r="D365" s="146"/>
      <c r="E365" s="146"/>
      <c r="F365" s="146"/>
      <c r="G365" s="147"/>
      <c r="H365" s="216"/>
      <c r="I365" s="217"/>
      <c r="J365" s="146"/>
      <c r="K365" s="216"/>
      <c r="L365" s="153"/>
      <c r="M365" s="146"/>
      <c r="N365" s="148"/>
      <c r="O365" s="148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  <c r="AA365" s="146"/>
      <c r="AB365" s="146"/>
      <c r="AC365" s="146"/>
      <c r="AD365" s="146"/>
      <c r="AE365" s="146"/>
      <c r="AF365" s="146"/>
      <c r="AG365" s="146"/>
      <c r="AH365" s="146"/>
      <c r="AI365" s="146"/>
      <c r="AJ365" s="146"/>
      <c r="AK365" s="146"/>
      <c r="AL365" s="146"/>
      <c r="AM365" s="206"/>
      <c r="AN365" s="146"/>
      <c r="AO365" s="149"/>
      <c r="AP365" s="150"/>
      <c r="AQ365" s="146"/>
      <c r="AR365" s="146"/>
      <c r="AS365" s="146"/>
      <c r="AT365" s="146"/>
      <c r="AU365" s="146"/>
      <c r="AV365" s="146"/>
      <c r="AW365" s="146"/>
      <c r="AX365" s="146"/>
      <c r="AY365" s="146"/>
      <c r="AZ365" s="146"/>
      <c r="BA365" s="147"/>
      <c r="BB365" s="146"/>
      <c r="BC365" s="147"/>
      <c r="BD365" s="147"/>
      <c r="BE365" s="147"/>
      <c r="BF365" s="147"/>
      <c r="BG365" s="147"/>
      <c r="BH365" s="151"/>
      <c r="BI365" s="147"/>
      <c r="BJ365" s="147"/>
      <c r="BK365" s="147"/>
      <c r="BL365" s="146"/>
      <c r="BM365" s="152"/>
      <c r="BN365" s="218"/>
      <c r="BO365" s="153"/>
      <c r="BP365" s="153"/>
      <c r="BQ365" s="219"/>
      <c r="BR365" s="146"/>
      <c r="BS365" s="146"/>
      <c r="BT365" s="146"/>
      <c r="BU365" s="146"/>
      <c r="BV365" s="219"/>
      <c r="BW365" s="146"/>
      <c r="BX365" s="146"/>
      <c r="BY365" s="146"/>
      <c r="BZ365" s="146"/>
      <c r="CA365" s="146"/>
      <c r="CB365" s="146"/>
      <c r="CC365" s="146"/>
      <c r="CD365" s="146"/>
      <c r="CE365" s="146"/>
      <c r="CF365" s="146"/>
      <c r="CG365" s="146"/>
      <c r="CH365" s="146"/>
      <c r="CI365" s="146"/>
      <c r="CJ365" s="146"/>
      <c r="CK365" s="146"/>
      <c r="CL365" s="146"/>
      <c r="CM365" s="146"/>
      <c r="CN365" s="146"/>
      <c r="CO365" s="146"/>
      <c r="CP365" s="146"/>
      <c r="CQ365" s="146"/>
      <c r="CR365" s="146"/>
      <c r="CS365" s="146"/>
      <c r="CT365" s="146"/>
      <c r="CU365" s="146"/>
    </row>
    <row r="366" spans="1:99" ht="16.399999999999999" customHeight="1" x14ac:dyDescent="0.35">
      <c r="A366" s="145"/>
      <c r="B366" s="145"/>
      <c r="C366" s="146"/>
      <c r="D366" s="146"/>
      <c r="E366" s="146"/>
      <c r="F366" s="146"/>
      <c r="G366" s="147"/>
      <c r="H366" s="216"/>
      <c r="I366" s="217"/>
      <c r="J366" s="146"/>
      <c r="K366" s="216"/>
      <c r="L366" s="153"/>
      <c r="M366" s="146"/>
      <c r="N366" s="148"/>
      <c r="O366" s="148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  <c r="AA366" s="146"/>
      <c r="AB366" s="146"/>
      <c r="AC366" s="146"/>
      <c r="AD366" s="146"/>
      <c r="AE366" s="146"/>
      <c r="AF366" s="146"/>
      <c r="AG366" s="146"/>
      <c r="AH366" s="146"/>
      <c r="AI366" s="146"/>
      <c r="AJ366" s="146"/>
      <c r="AK366" s="146"/>
      <c r="AL366" s="146"/>
      <c r="AM366" s="206"/>
      <c r="AN366" s="146"/>
      <c r="AO366" s="149"/>
      <c r="AP366" s="150"/>
      <c r="AQ366" s="146"/>
      <c r="AR366" s="146"/>
      <c r="AS366" s="146"/>
      <c r="AT366" s="146"/>
      <c r="AU366" s="146"/>
      <c r="AV366" s="146"/>
      <c r="AW366" s="146"/>
      <c r="AX366" s="146"/>
      <c r="AY366" s="146"/>
      <c r="AZ366" s="146"/>
      <c r="BA366" s="147"/>
      <c r="BB366" s="146"/>
      <c r="BC366" s="147"/>
      <c r="BD366" s="147"/>
      <c r="BE366" s="147"/>
      <c r="BF366" s="147"/>
      <c r="BG366" s="147"/>
      <c r="BH366" s="151"/>
      <c r="BI366" s="147"/>
      <c r="BJ366" s="147"/>
      <c r="BK366" s="147"/>
      <c r="BL366" s="146"/>
      <c r="BM366" s="152"/>
      <c r="BN366" s="218"/>
      <c r="BO366" s="153"/>
      <c r="BP366" s="153"/>
      <c r="BQ366" s="219"/>
      <c r="BR366" s="146"/>
      <c r="BS366" s="146"/>
      <c r="BT366" s="146"/>
      <c r="BU366" s="146"/>
      <c r="BV366" s="219"/>
      <c r="BW366" s="146"/>
      <c r="BX366" s="146"/>
      <c r="BY366" s="146"/>
      <c r="BZ366" s="146"/>
      <c r="CA366" s="146"/>
      <c r="CB366" s="146"/>
      <c r="CC366" s="146"/>
      <c r="CD366" s="146"/>
      <c r="CE366" s="146"/>
      <c r="CF366" s="146"/>
      <c r="CG366" s="146"/>
      <c r="CH366" s="146"/>
      <c r="CI366" s="146"/>
      <c r="CJ366" s="146"/>
      <c r="CK366" s="146"/>
      <c r="CL366" s="146"/>
      <c r="CM366" s="146"/>
      <c r="CN366" s="146"/>
      <c r="CO366" s="146"/>
      <c r="CP366" s="146"/>
      <c r="CQ366" s="146"/>
      <c r="CR366" s="146"/>
      <c r="CS366" s="146"/>
      <c r="CT366" s="146"/>
      <c r="CU366" s="146"/>
    </row>
    <row r="367" spans="1:99" ht="16.399999999999999" customHeight="1" x14ac:dyDescent="0.35">
      <c r="A367" s="145"/>
      <c r="B367" s="145"/>
      <c r="C367" s="146"/>
      <c r="D367" s="146"/>
      <c r="E367" s="146"/>
      <c r="F367" s="146"/>
      <c r="G367" s="147"/>
      <c r="H367" s="216"/>
      <c r="I367" s="217"/>
      <c r="J367" s="146"/>
      <c r="K367" s="216"/>
      <c r="L367" s="153"/>
      <c r="M367" s="146"/>
      <c r="N367" s="148"/>
      <c r="O367" s="148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  <c r="AA367" s="146"/>
      <c r="AB367" s="146"/>
      <c r="AC367" s="146"/>
      <c r="AD367" s="146"/>
      <c r="AE367" s="146"/>
      <c r="AF367" s="146"/>
      <c r="AG367" s="146"/>
      <c r="AH367" s="146"/>
      <c r="AI367" s="146"/>
      <c r="AJ367" s="146"/>
      <c r="AK367" s="146"/>
      <c r="AL367" s="146"/>
      <c r="AM367" s="206"/>
      <c r="AN367" s="146"/>
      <c r="AO367" s="149"/>
      <c r="AP367" s="150"/>
      <c r="AQ367" s="146"/>
      <c r="AR367" s="146"/>
      <c r="AS367" s="146"/>
      <c r="AT367" s="146"/>
      <c r="AU367" s="146"/>
      <c r="AV367" s="146"/>
      <c r="AW367" s="146"/>
      <c r="AX367" s="146"/>
      <c r="AY367" s="146"/>
      <c r="AZ367" s="146"/>
      <c r="BA367" s="147"/>
      <c r="BB367" s="146"/>
      <c r="BC367" s="147"/>
      <c r="BD367" s="147"/>
      <c r="BE367" s="147"/>
      <c r="BF367" s="147"/>
      <c r="BG367" s="147"/>
      <c r="BH367" s="151"/>
      <c r="BI367" s="147"/>
      <c r="BJ367" s="147"/>
      <c r="BK367" s="147"/>
      <c r="BL367" s="146"/>
      <c r="BM367" s="152"/>
      <c r="BN367" s="218"/>
      <c r="BO367" s="153"/>
      <c r="BP367" s="153"/>
      <c r="BQ367" s="219"/>
      <c r="BR367" s="146"/>
      <c r="BS367" s="146"/>
      <c r="BT367" s="146"/>
      <c r="BU367" s="146"/>
      <c r="BV367" s="219"/>
      <c r="BW367" s="146"/>
      <c r="BX367" s="146"/>
      <c r="BY367" s="146"/>
      <c r="BZ367" s="146"/>
      <c r="CA367" s="146"/>
      <c r="CB367" s="146"/>
      <c r="CC367" s="146"/>
      <c r="CD367" s="146"/>
      <c r="CE367" s="146"/>
      <c r="CF367" s="146"/>
      <c r="CG367" s="146"/>
      <c r="CH367" s="146"/>
      <c r="CI367" s="146"/>
      <c r="CJ367" s="146"/>
      <c r="CK367" s="146"/>
      <c r="CL367" s="146"/>
      <c r="CM367" s="146"/>
      <c r="CN367" s="146"/>
      <c r="CO367" s="146"/>
      <c r="CP367" s="146"/>
      <c r="CQ367" s="146"/>
      <c r="CR367" s="146"/>
      <c r="CS367" s="146"/>
      <c r="CT367" s="146"/>
      <c r="CU367" s="146"/>
    </row>
    <row r="368" spans="1:99" ht="16.399999999999999" customHeight="1" x14ac:dyDescent="0.35">
      <c r="A368" s="145"/>
      <c r="B368" s="145"/>
      <c r="C368" s="146"/>
      <c r="D368" s="146"/>
      <c r="E368" s="146"/>
      <c r="F368" s="146"/>
      <c r="G368" s="147"/>
      <c r="H368" s="216"/>
      <c r="I368" s="217"/>
      <c r="J368" s="146"/>
      <c r="K368" s="216"/>
      <c r="L368" s="153"/>
      <c r="M368" s="146"/>
      <c r="N368" s="148"/>
      <c r="O368" s="148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  <c r="AA368" s="146"/>
      <c r="AB368" s="146"/>
      <c r="AC368" s="146"/>
      <c r="AD368" s="146"/>
      <c r="AE368" s="146"/>
      <c r="AF368" s="146"/>
      <c r="AG368" s="146"/>
      <c r="AH368" s="146"/>
      <c r="AI368" s="146"/>
      <c r="AJ368" s="146"/>
      <c r="AK368" s="146"/>
      <c r="AL368" s="146"/>
      <c r="AM368" s="206"/>
      <c r="AN368" s="146"/>
      <c r="AO368" s="149"/>
      <c r="AP368" s="150"/>
      <c r="AQ368" s="146"/>
      <c r="AR368" s="146"/>
      <c r="AS368" s="146"/>
      <c r="AT368" s="146"/>
      <c r="AU368" s="146"/>
      <c r="AV368" s="146"/>
      <c r="AW368" s="146"/>
      <c r="AX368" s="146"/>
      <c r="AY368" s="146"/>
      <c r="AZ368" s="146"/>
      <c r="BA368" s="147"/>
      <c r="BB368" s="146"/>
      <c r="BC368" s="147"/>
      <c r="BD368" s="147"/>
      <c r="BE368" s="147"/>
      <c r="BF368" s="147"/>
      <c r="BG368" s="147"/>
      <c r="BH368" s="151"/>
      <c r="BI368" s="147"/>
      <c r="BJ368" s="147"/>
      <c r="BK368" s="147"/>
      <c r="BL368" s="146"/>
      <c r="BM368" s="152"/>
      <c r="BN368" s="218"/>
      <c r="BO368" s="153"/>
      <c r="BP368" s="153"/>
      <c r="BQ368" s="219"/>
      <c r="BR368" s="146"/>
      <c r="BS368" s="146"/>
      <c r="BT368" s="146"/>
      <c r="BU368" s="146"/>
      <c r="BV368" s="219"/>
      <c r="BW368" s="146"/>
      <c r="BX368" s="146"/>
      <c r="BY368" s="146"/>
      <c r="BZ368" s="146"/>
      <c r="CA368" s="146"/>
      <c r="CB368" s="146"/>
      <c r="CC368" s="146"/>
      <c r="CD368" s="146"/>
      <c r="CE368" s="146"/>
      <c r="CF368" s="146"/>
      <c r="CG368" s="146"/>
      <c r="CH368" s="146"/>
      <c r="CI368" s="146"/>
      <c r="CJ368" s="146"/>
      <c r="CK368" s="146"/>
      <c r="CL368" s="146"/>
      <c r="CM368" s="146"/>
      <c r="CN368" s="146"/>
      <c r="CO368" s="146"/>
      <c r="CP368" s="146"/>
      <c r="CQ368" s="146"/>
      <c r="CR368" s="146"/>
      <c r="CS368" s="146"/>
      <c r="CT368" s="146"/>
      <c r="CU368" s="146"/>
    </row>
    <row r="369" spans="1:99" ht="16.399999999999999" customHeight="1" x14ac:dyDescent="0.35">
      <c r="A369" s="145"/>
      <c r="B369" s="145"/>
      <c r="C369" s="146"/>
      <c r="D369" s="146"/>
      <c r="E369" s="146"/>
      <c r="F369" s="146"/>
      <c r="G369" s="147"/>
      <c r="H369" s="216"/>
      <c r="I369" s="217"/>
      <c r="J369" s="146"/>
      <c r="K369" s="216"/>
      <c r="L369" s="153"/>
      <c r="M369" s="146"/>
      <c r="N369" s="148"/>
      <c r="O369" s="148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  <c r="AA369" s="146"/>
      <c r="AB369" s="146"/>
      <c r="AC369" s="146"/>
      <c r="AD369" s="146"/>
      <c r="AE369" s="146"/>
      <c r="AF369" s="146"/>
      <c r="AG369" s="146"/>
      <c r="AH369" s="146"/>
      <c r="AI369" s="146"/>
      <c r="AJ369" s="146"/>
      <c r="AK369" s="146"/>
      <c r="AL369" s="146"/>
      <c r="AM369" s="206"/>
      <c r="AN369" s="146"/>
      <c r="AO369" s="149"/>
      <c r="AP369" s="150"/>
      <c r="AQ369" s="146"/>
      <c r="AR369" s="146"/>
      <c r="AS369" s="146"/>
      <c r="AT369" s="146"/>
      <c r="AU369" s="146"/>
      <c r="AV369" s="146"/>
      <c r="AW369" s="146"/>
      <c r="AX369" s="146"/>
      <c r="AY369" s="146"/>
      <c r="AZ369" s="146"/>
      <c r="BA369" s="147"/>
      <c r="BB369" s="146"/>
      <c r="BC369" s="147"/>
      <c r="BD369" s="147"/>
      <c r="BE369" s="147"/>
      <c r="BF369" s="147"/>
      <c r="BG369" s="147"/>
      <c r="BH369" s="151"/>
      <c r="BI369" s="147"/>
      <c r="BJ369" s="147"/>
      <c r="BK369" s="147"/>
      <c r="BL369" s="146"/>
      <c r="BM369" s="152"/>
      <c r="BN369" s="218"/>
      <c r="BO369" s="153"/>
      <c r="BP369" s="153"/>
      <c r="BQ369" s="219"/>
      <c r="BR369" s="146"/>
      <c r="BS369" s="146"/>
      <c r="BT369" s="146"/>
      <c r="BU369" s="146"/>
      <c r="BV369" s="219"/>
      <c r="BW369" s="146"/>
      <c r="BX369" s="146"/>
      <c r="BY369" s="146"/>
      <c r="BZ369" s="146"/>
      <c r="CA369" s="146"/>
      <c r="CB369" s="146"/>
      <c r="CC369" s="146"/>
      <c r="CD369" s="146"/>
      <c r="CE369" s="146"/>
      <c r="CF369" s="146"/>
      <c r="CG369" s="146"/>
      <c r="CH369" s="146"/>
      <c r="CI369" s="146"/>
      <c r="CJ369" s="146"/>
      <c r="CK369" s="146"/>
      <c r="CL369" s="146"/>
      <c r="CM369" s="146"/>
      <c r="CN369" s="146"/>
      <c r="CO369" s="146"/>
      <c r="CP369" s="146"/>
      <c r="CQ369" s="146"/>
      <c r="CR369" s="146"/>
      <c r="CS369" s="146"/>
      <c r="CT369" s="146"/>
      <c r="CU369" s="146"/>
    </row>
    <row r="370" spans="1:99" ht="16.399999999999999" customHeight="1" x14ac:dyDescent="0.35">
      <c r="A370" s="145"/>
      <c r="B370" s="145"/>
      <c r="C370" s="146"/>
      <c r="D370" s="146"/>
      <c r="E370" s="146"/>
      <c r="F370" s="146"/>
      <c r="G370" s="147"/>
      <c r="H370" s="216"/>
      <c r="I370" s="217"/>
      <c r="J370" s="146"/>
      <c r="K370" s="216"/>
      <c r="L370" s="153"/>
      <c r="M370" s="146"/>
      <c r="N370" s="148"/>
      <c r="O370" s="148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  <c r="AA370" s="146"/>
      <c r="AB370" s="146"/>
      <c r="AC370" s="146"/>
      <c r="AD370" s="146"/>
      <c r="AE370" s="146"/>
      <c r="AF370" s="146"/>
      <c r="AG370" s="146"/>
      <c r="AH370" s="146"/>
      <c r="AI370" s="146"/>
      <c r="AJ370" s="146"/>
      <c r="AK370" s="146"/>
      <c r="AL370" s="146"/>
      <c r="AM370" s="206"/>
      <c r="AN370" s="146"/>
      <c r="AO370" s="149"/>
      <c r="AP370" s="150"/>
      <c r="AQ370" s="146"/>
      <c r="AR370" s="146"/>
      <c r="AS370" s="146"/>
      <c r="AT370" s="146"/>
      <c r="AU370" s="146"/>
      <c r="AV370" s="146"/>
      <c r="AW370" s="146"/>
      <c r="AX370" s="146"/>
      <c r="AY370" s="146"/>
      <c r="AZ370" s="146"/>
      <c r="BA370" s="147"/>
      <c r="BB370" s="146"/>
      <c r="BC370" s="147"/>
      <c r="BD370" s="147"/>
      <c r="BE370" s="147"/>
      <c r="BF370" s="147"/>
      <c r="BG370" s="147"/>
      <c r="BH370" s="151"/>
      <c r="BI370" s="147"/>
      <c r="BJ370" s="147"/>
      <c r="BK370" s="147"/>
      <c r="BL370" s="146"/>
      <c r="BM370" s="152"/>
      <c r="BN370" s="218"/>
      <c r="BO370" s="153"/>
      <c r="BP370" s="153"/>
      <c r="BQ370" s="219"/>
      <c r="BR370" s="146"/>
      <c r="BS370" s="146"/>
      <c r="BT370" s="146"/>
      <c r="BU370" s="146"/>
      <c r="BV370" s="219"/>
      <c r="BW370" s="146"/>
      <c r="BX370" s="146"/>
      <c r="BY370" s="146"/>
      <c r="BZ370" s="146"/>
      <c r="CA370" s="146"/>
      <c r="CB370" s="146"/>
      <c r="CC370" s="146"/>
      <c r="CD370" s="146"/>
      <c r="CE370" s="146"/>
      <c r="CF370" s="146"/>
      <c r="CG370" s="146"/>
      <c r="CH370" s="146"/>
      <c r="CI370" s="146"/>
      <c r="CJ370" s="146"/>
      <c r="CK370" s="146"/>
      <c r="CL370" s="146"/>
      <c r="CM370" s="146"/>
      <c r="CN370" s="146"/>
      <c r="CO370" s="146"/>
      <c r="CP370" s="146"/>
      <c r="CQ370" s="146"/>
      <c r="CR370" s="146"/>
      <c r="CS370" s="146"/>
      <c r="CT370" s="146"/>
      <c r="CU370" s="146"/>
    </row>
    <row r="371" spans="1:99" ht="16.399999999999999" customHeight="1" x14ac:dyDescent="0.35">
      <c r="A371" s="145"/>
      <c r="B371" s="145"/>
      <c r="C371" s="146"/>
      <c r="D371" s="146"/>
      <c r="E371" s="146"/>
      <c r="F371" s="146"/>
      <c r="G371" s="147"/>
      <c r="H371" s="216"/>
      <c r="I371" s="217"/>
      <c r="J371" s="146"/>
      <c r="K371" s="216"/>
      <c r="L371" s="153"/>
      <c r="M371" s="146"/>
      <c r="N371" s="148"/>
      <c r="O371" s="148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  <c r="AA371" s="146"/>
      <c r="AB371" s="146"/>
      <c r="AC371" s="146"/>
      <c r="AD371" s="146"/>
      <c r="AE371" s="146"/>
      <c r="AF371" s="146"/>
      <c r="AG371" s="146"/>
      <c r="AH371" s="146"/>
      <c r="AI371" s="146"/>
      <c r="AJ371" s="146"/>
      <c r="AK371" s="146"/>
      <c r="AL371" s="146"/>
      <c r="AM371" s="206"/>
      <c r="AN371" s="146"/>
      <c r="AO371" s="149"/>
      <c r="AP371" s="150"/>
      <c r="AQ371" s="146"/>
      <c r="AR371" s="146"/>
      <c r="AS371" s="146"/>
      <c r="AT371" s="146"/>
      <c r="AU371" s="146"/>
      <c r="AV371" s="146"/>
      <c r="AW371" s="146"/>
      <c r="AX371" s="146"/>
      <c r="AY371" s="146"/>
      <c r="AZ371" s="146"/>
      <c r="BA371" s="147"/>
      <c r="BB371" s="146"/>
      <c r="BC371" s="147"/>
      <c r="BD371" s="147"/>
      <c r="BE371" s="147"/>
      <c r="BF371" s="147"/>
      <c r="BG371" s="147"/>
      <c r="BH371" s="151"/>
      <c r="BI371" s="147"/>
      <c r="BJ371" s="147"/>
      <c r="BK371" s="147"/>
      <c r="BL371" s="146"/>
      <c r="BM371" s="152"/>
      <c r="BN371" s="218"/>
      <c r="BO371" s="153"/>
      <c r="BP371" s="153"/>
      <c r="BQ371" s="219"/>
      <c r="BR371" s="146"/>
      <c r="BS371" s="146"/>
      <c r="BT371" s="146"/>
      <c r="BU371" s="146"/>
      <c r="BV371" s="219"/>
      <c r="BW371" s="146"/>
      <c r="BX371" s="146"/>
      <c r="BY371" s="146"/>
      <c r="BZ371" s="146"/>
      <c r="CA371" s="146"/>
      <c r="CB371" s="146"/>
      <c r="CC371" s="146"/>
      <c r="CD371" s="146"/>
      <c r="CE371" s="146"/>
      <c r="CF371" s="146"/>
      <c r="CG371" s="146"/>
      <c r="CH371" s="146"/>
      <c r="CI371" s="146"/>
      <c r="CJ371" s="146"/>
      <c r="CK371" s="146"/>
      <c r="CL371" s="146"/>
      <c r="CM371" s="146"/>
      <c r="CN371" s="146"/>
      <c r="CO371" s="146"/>
      <c r="CP371" s="146"/>
      <c r="CQ371" s="146"/>
      <c r="CR371" s="146"/>
      <c r="CS371" s="146"/>
      <c r="CT371" s="146"/>
      <c r="CU371" s="146"/>
    </row>
    <row r="372" spans="1:99" ht="16.399999999999999" customHeight="1" x14ac:dyDescent="0.35">
      <c r="A372" s="145"/>
      <c r="B372" s="145"/>
      <c r="C372" s="146"/>
      <c r="D372" s="146"/>
      <c r="E372" s="146"/>
      <c r="F372" s="146"/>
      <c r="G372" s="147"/>
      <c r="H372" s="216"/>
      <c r="I372" s="217"/>
      <c r="J372" s="146"/>
      <c r="K372" s="216"/>
      <c r="L372" s="153"/>
      <c r="M372" s="146"/>
      <c r="N372" s="148"/>
      <c r="O372" s="148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  <c r="AA372" s="146"/>
      <c r="AB372" s="146"/>
      <c r="AC372" s="146"/>
      <c r="AD372" s="146"/>
      <c r="AE372" s="146"/>
      <c r="AF372" s="146"/>
      <c r="AG372" s="146"/>
      <c r="AH372" s="146"/>
      <c r="AI372" s="146"/>
      <c r="AJ372" s="146"/>
      <c r="AK372" s="146"/>
      <c r="AL372" s="146"/>
      <c r="AM372" s="206"/>
      <c r="AN372" s="146"/>
      <c r="AO372" s="149"/>
      <c r="AP372" s="150"/>
      <c r="AQ372" s="146"/>
      <c r="AR372" s="146"/>
      <c r="AS372" s="146"/>
      <c r="AT372" s="146"/>
      <c r="AU372" s="146"/>
      <c r="AV372" s="146"/>
      <c r="AW372" s="146"/>
      <c r="AX372" s="146"/>
      <c r="AY372" s="146"/>
      <c r="AZ372" s="146"/>
      <c r="BA372" s="147"/>
      <c r="BB372" s="146"/>
      <c r="BC372" s="147"/>
      <c r="BD372" s="147"/>
      <c r="BE372" s="147"/>
      <c r="BF372" s="147"/>
      <c r="BG372" s="147"/>
      <c r="BH372" s="151"/>
      <c r="BI372" s="147"/>
      <c r="BJ372" s="147"/>
      <c r="BK372" s="147"/>
      <c r="BL372" s="146"/>
      <c r="BM372" s="152"/>
      <c r="BN372" s="218"/>
      <c r="BO372" s="153"/>
      <c r="BP372" s="153"/>
      <c r="BQ372" s="219"/>
      <c r="BR372" s="146"/>
      <c r="BS372" s="146"/>
      <c r="BT372" s="146"/>
      <c r="BU372" s="146"/>
      <c r="BV372" s="219"/>
      <c r="BW372" s="146"/>
      <c r="BX372" s="146"/>
      <c r="BY372" s="146"/>
      <c r="BZ372" s="146"/>
      <c r="CA372" s="146"/>
      <c r="CB372" s="146"/>
      <c r="CC372" s="146"/>
      <c r="CD372" s="146"/>
      <c r="CE372" s="146"/>
      <c r="CF372" s="146"/>
      <c r="CG372" s="146"/>
      <c r="CH372" s="146"/>
      <c r="CI372" s="146"/>
      <c r="CJ372" s="146"/>
      <c r="CK372" s="146"/>
      <c r="CL372" s="146"/>
      <c r="CM372" s="146"/>
      <c r="CN372" s="146"/>
      <c r="CO372" s="146"/>
      <c r="CP372" s="146"/>
      <c r="CQ372" s="146"/>
      <c r="CR372" s="146"/>
      <c r="CS372" s="146"/>
      <c r="CT372" s="146"/>
      <c r="CU372" s="146"/>
    </row>
    <row r="373" spans="1:99" ht="16.399999999999999" customHeight="1" x14ac:dyDescent="0.35">
      <c r="A373" s="145"/>
      <c r="B373" s="145"/>
      <c r="C373" s="146"/>
      <c r="D373" s="146"/>
      <c r="E373" s="146"/>
      <c r="F373" s="146"/>
      <c r="G373" s="147"/>
      <c r="H373" s="216"/>
      <c r="I373" s="217"/>
      <c r="J373" s="146"/>
      <c r="K373" s="216"/>
      <c r="L373" s="153"/>
      <c r="M373" s="146"/>
      <c r="N373" s="148"/>
      <c r="O373" s="148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  <c r="AA373" s="146"/>
      <c r="AB373" s="146"/>
      <c r="AC373" s="146"/>
      <c r="AD373" s="146"/>
      <c r="AE373" s="146"/>
      <c r="AF373" s="146"/>
      <c r="AG373" s="146"/>
      <c r="AH373" s="146"/>
      <c r="AI373" s="146"/>
      <c r="AJ373" s="146"/>
      <c r="AK373" s="146"/>
      <c r="AL373" s="146"/>
      <c r="AM373" s="206"/>
      <c r="AN373" s="146"/>
      <c r="AO373" s="149"/>
      <c r="AP373" s="150"/>
      <c r="AQ373" s="146"/>
      <c r="AR373" s="146"/>
      <c r="AS373" s="146"/>
      <c r="AT373" s="146"/>
      <c r="AU373" s="146"/>
      <c r="AV373" s="146"/>
      <c r="AW373" s="146"/>
      <c r="AX373" s="146"/>
      <c r="AY373" s="146"/>
      <c r="AZ373" s="146"/>
      <c r="BA373" s="147"/>
      <c r="BB373" s="146"/>
      <c r="BC373" s="147"/>
      <c r="BD373" s="147"/>
      <c r="BE373" s="147"/>
      <c r="BF373" s="147"/>
      <c r="BG373" s="147"/>
      <c r="BH373" s="151"/>
      <c r="BI373" s="147"/>
      <c r="BJ373" s="147"/>
      <c r="BK373" s="147"/>
      <c r="BL373" s="146"/>
      <c r="BM373" s="152"/>
      <c r="BN373" s="218"/>
      <c r="BO373" s="153"/>
      <c r="BP373" s="153"/>
      <c r="BQ373" s="219"/>
      <c r="BR373" s="146"/>
      <c r="BS373" s="146"/>
      <c r="BT373" s="146"/>
      <c r="BU373" s="146"/>
      <c r="BV373" s="219"/>
      <c r="BW373" s="146"/>
      <c r="BX373" s="146"/>
      <c r="BY373" s="146"/>
      <c r="BZ373" s="146"/>
      <c r="CA373" s="146"/>
      <c r="CB373" s="146"/>
      <c r="CC373" s="146"/>
      <c r="CD373" s="146"/>
      <c r="CE373" s="146"/>
      <c r="CF373" s="146"/>
      <c r="CG373" s="146"/>
      <c r="CH373" s="146"/>
      <c r="CI373" s="146"/>
      <c r="CJ373" s="146"/>
      <c r="CK373" s="146"/>
      <c r="CL373" s="146"/>
      <c r="CM373" s="146"/>
      <c r="CN373" s="146"/>
      <c r="CO373" s="146"/>
      <c r="CP373" s="146"/>
      <c r="CQ373" s="146"/>
      <c r="CR373" s="146"/>
      <c r="CS373" s="146"/>
      <c r="CT373" s="146"/>
      <c r="CU373" s="146"/>
    </row>
    <row r="374" spans="1:99" ht="16.399999999999999" customHeight="1" x14ac:dyDescent="0.35">
      <c r="A374" s="145"/>
      <c r="B374" s="145"/>
      <c r="C374" s="146"/>
      <c r="D374" s="146"/>
      <c r="E374" s="146"/>
      <c r="F374" s="146"/>
      <c r="G374" s="147"/>
      <c r="H374" s="216"/>
      <c r="I374" s="217"/>
      <c r="J374" s="146"/>
      <c r="K374" s="216"/>
      <c r="L374" s="153"/>
      <c r="M374" s="146"/>
      <c r="N374" s="148"/>
      <c r="O374" s="148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  <c r="AA374" s="146"/>
      <c r="AB374" s="146"/>
      <c r="AC374" s="146"/>
      <c r="AD374" s="146"/>
      <c r="AE374" s="146"/>
      <c r="AF374" s="146"/>
      <c r="AG374" s="146"/>
      <c r="AH374" s="146"/>
      <c r="AI374" s="146"/>
      <c r="AJ374" s="146"/>
      <c r="AK374" s="146"/>
      <c r="AL374" s="146"/>
      <c r="AM374" s="206"/>
      <c r="AN374" s="146"/>
      <c r="AO374" s="149"/>
      <c r="AP374" s="150"/>
      <c r="AQ374" s="146"/>
      <c r="AR374" s="146"/>
      <c r="AS374" s="146"/>
      <c r="AT374" s="146"/>
      <c r="AU374" s="146"/>
      <c r="AV374" s="146"/>
      <c r="AW374" s="146"/>
      <c r="AX374" s="146"/>
      <c r="AY374" s="146"/>
      <c r="AZ374" s="146"/>
      <c r="BA374" s="147"/>
      <c r="BB374" s="146"/>
      <c r="BC374" s="147"/>
      <c r="BD374" s="147"/>
      <c r="BE374" s="147"/>
      <c r="BF374" s="147"/>
      <c r="BG374" s="147"/>
      <c r="BH374" s="151"/>
      <c r="BI374" s="147"/>
      <c r="BJ374" s="147"/>
      <c r="BK374" s="147"/>
      <c r="BL374" s="146"/>
      <c r="BM374" s="152"/>
      <c r="BN374" s="218"/>
      <c r="BO374" s="153"/>
      <c r="BP374" s="153"/>
      <c r="BQ374" s="219"/>
      <c r="BR374" s="146"/>
      <c r="BS374" s="146"/>
      <c r="BT374" s="146"/>
      <c r="BU374" s="146"/>
      <c r="BV374" s="219"/>
      <c r="BW374" s="146"/>
      <c r="BX374" s="146"/>
      <c r="BY374" s="146"/>
      <c r="BZ374" s="146"/>
      <c r="CA374" s="146"/>
      <c r="CB374" s="146"/>
      <c r="CC374" s="146"/>
      <c r="CD374" s="146"/>
      <c r="CE374" s="146"/>
      <c r="CF374" s="146"/>
      <c r="CG374" s="146"/>
      <c r="CH374" s="146"/>
      <c r="CI374" s="146"/>
      <c r="CJ374" s="146"/>
      <c r="CK374" s="146"/>
      <c r="CL374" s="146"/>
      <c r="CM374" s="146"/>
      <c r="CN374" s="146"/>
      <c r="CO374" s="146"/>
      <c r="CP374" s="146"/>
      <c r="CQ374" s="146"/>
      <c r="CR374" s="146"/>
      <c r="CS374" s="146"/>
      <c r="CT374" s="146"/>
      <c r="CU374" s="146"/>
    </row>
    <row r="375" spans="1:99" ht="16.399999999999999" customHeight="1" x14ac:dyDescent="0.35">
      <c r="A375" s="145"/>
      <c r="B375" s="145"/>
      <c r="C375" s="146"/>
      <c r="D375" s="146"/>
      <c r="E375" s="146"/>
      <c r="F375" s="146"/>
      <c r="G375" s="147"/>
      <c r="H375" s="216"/>
      <c r="I375" s="217"/>
      <c r="J375" s="146"/>
      <c r="K375" s="216"/>
      <c r="L375" s="153"/>
      <c r="M375" s="146"/>
      <c r="N375" s="148"/>
      <c r="O375" s="148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  <c r="AA375" s="146"/>
      <c r="AB375" s="146"/>
      <c r="AC375" s="146"/>
      <c r="AD375" s="146"/>
      <c r="AE375" s="146"/>
      <c r="AF375" s="146"/>
      <c r="AG375" s="146"/>
      <c r="AH375" s="146"/>
      <c r="AI375" s="146"/>
      <c r="AJ375" s="146"/>
      <c r="AK375" s="146"/>
      <c r="AL375" s="146"/>
      <c r="AM375" s="206"/>
      <c r="AN375" s="146"/>
      <c r="AO375" s="149"/>
      <c r="AP375" s="150"/>
      <c r="AQ375" s="146"/>
      <c r="AR375" s="146"/>
      <c r="AS375" s="146"/>
      <c r="AT375" s="146"/>
      <c r="AU375" s="146"/>
      <c r="AV375" s="146"/>
      <c r="AW375" s="146"/>
      <c r="AX375" s="146"/>
      <c r="AY375" s="146"/>
      <c r="AZ375" s="146"/>
      <c r="BA375" s="147"/>
      <c r="BB375" s="146"/>
      <c r="BC375" s="147"/>
      <c r="BD375" s="147"/>
      <c r="BE375" s="147"/>
      <c r="BF375" s="147"/>
      <c r="BG375" s="147"/>
      <c r="BH375" s="151"/>
      <c r="BI375" s="147"/>
      <c r="BJ375" s="147"/>
      <c r="BK375" s="147"/>
      <c r="BL375" s="146"/>
      <c r="BM375" s="152"/>
      <c r="BN375" s="218"/>
      <c r="BO375" s="153"/>
      <c r="BP375" s="153"/>
      <c r="BQ375" s="219"/>
      <c r="BR375" s="146"/>
      <c r="BS375" s="146"/>
      <c r="BT375" s="146"/>
      <c r="BU375" s="146"/>
      <c r="BV375" s="219"/>
      <c r="BW375" s="146"/>
      <c r="BX375" s="146"/>
      <c r="BY375" s="146"/>
      <c r="BZ375" s="146"/>
      <c r="CA375" s="146"/>
      <c r="CB375" s="146"/>
      <c r="CC375" s="146"/>
      <c r="CD375" s="146"/>
      <c r="CE375" s="146"/>
      <c r="CF375" s="146"/>
      <c r="CG375" s="146"/>
      <c r="CH375" s="146"/>
      <c r="CI375" s="146"/>
      <c r="CJ375" s="146"/>
      <c r="CK375" s="146"/>
      <c r="CL375" s="146"/>
      <c r="CM375" s="146"/>
      <c r="CN375" s="146"/>
      <c r="CO375" s="146"/>
      <c r="CP375" s="146"/>
      <c r="CQ375" s="146"/>
      <c r="CR375" s="146"/>
      <c r="CS375" s="146"/>
      <c r="CT375" s="146"/>
      <c r="CU375" s="146"/>
    </row>
    <row r="376" spans="1:99" ht="16.399999999999999" customHeight="1" x14ac:dyDescent="0.35">
      <c r="A376" s="145"/>
      <c r="B376" s="145"/>
      <c r="C376" s="146"/>
      <c r="D376" s="146"/>
      <c r="E376" s="146"/>
      <c r="F376" s="146"/>
      <c r="G376" s="147"/>
      <c r="H376" s="216"/>
      <c r="I376" s="217"/>
      <c r="J376" s="146"/>
      <c r="K376" s="216"/>
      <c r="L376" s="153"/>
      <c r="M376" s="146"/>
      <c r="N376" s="148"/>
      <c r="O376" s="148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  <c r="AA376" s="146"/>
      <c r="AB376" s="146"/>
      <c r="AC376" s="146"/>
      <c r="AD376" s="146"/>
      <c r="AE376" s="146"/>
      <c r="AF376" s="146"/>
      <c r="AG376" s="146"/>
      <c r="AH376" s="146"/>
      <c r="AI376" s="146"/>
      <c r="AJ376" s="146"/>
      <c r="AK376" s="146"/>
      <c r="AL376" s="146"/>
      <c r="AM376" s="206"/>
      <c r="AN376" s="146"/>
      <c r="AO376" s="149"/>
      <c r="AP376" s="150"/>
      <c r="AQ376" s="146"/>
      <c r="AR376" s="146"/>
      <c r="AS376" s="146"/>
      <c r="AT376" s="146"/>
      <c r="AU376" s="146"/>
      <c r="AV376" s="146"/>
      <c r="AW376" s="146"/>
      <c r="AX376" s="146"/>
      <c r="AY376" s="146"/>
      <c r="AZ376" s="146"/>
      <c r="BA376" s="147"/>
      <c r="BB376" s="146"/>
      <c r="BC376" s="147"/>
      <c r="BD376" s="147"/>
      <c r="BE376" s="147"/>
      <c r="BF376" s="147"/>
      <c r="BG376" s="147"/>
      <c r="BH376" s="151"/>
      <c r="BI376" s="147"/>
      <c r="BJ376" s="147"/>
      <c r="BK376" s="147"/>
      <c r="BL376" s="146"/>
      <c r="BM376" s="152"/>
      <c r="BN376" s="218"/>
      <c r="BO376" s="153"/>
      <c r="BP376" s="153"/>
      <c r="BQ376" s="219"/>
      <c r="BR376" s="146"/>
      <c r="BS376" s="146"/>
      <c r="BT376" s="146"/>
      <c r="BU376" s="146"/>
      <c r="BV376" s="219"/>
      <c r="BW376" s="146"/>
      <c r="BX376" s="146"/>
      <c r="BY376" s="146"/>
      <c r="BZ376" s="146"/>
      <c r="CA376" s="146"/>
      <c r="CB376" s="146"/>
      <c r="CC376" s="146"/>
      <c r="CD376" s="146"/>
      <c r="CE376" s="146"/>
      <c r="CF376" s="146"/>
      <c r="CG376" s="146"/>
      <c r="CH376" s="146"/>
      <c r="CI376" s="146"/>
      <c r="CJ376" s="146"/>
      <c r="CK376" s="146"/>
      <c r="CL376" s="146"/>
      <c r="CM376" s="146"/>
      <c r="CN376" s="146"/>
      <c r="CO376" s="146"/>
      <c r="CP376" s="146"/>
      <c r="CQ376" s="146"/>
      <c r="CR376" s="146"/>
      <c r="CS376" s="146"/>
      <c r="CT376" s="146"/>
      <c r="CU376" s="146"/>
    </row>
    <row r="377" spans="1:99" ht="16.399999999999999" customHeight="1" x14ac:dyDescent="0.35">
      <c r="A377" s="145"/>
      <c r="B377" s="145"/>
      <c r="C377" s="146"/>
      <c r="D377" s="146"/>
      <c r="E377" s="146"/>
      <c r="F377" s="146"/>
      <c r="G377" s="147"/>
      <c r="H377" s="216"/>
      <c r="I377" s="217"/>
      <c r="J377" s="146"/>
      <c r="K377" s="216"/>
      <c r="L377" s="153"/>
      <c r="M377" s="146"/>
      <c r="N377" s="148"/>
      <c r="O377" s="148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  <c r="AA377" s="146"/>
      <c r="AB377" s="146"/>
      <c r="AC377" s="146"/>
      <c r="AD377" s="146"/>
      <c r="AE377" s="146"/>
      <c r="AF377" s="146"/>
      <c r="AG377" s="146"/>
      <c r="AH377" s="146"/>
      <c r="AI377" s="146"/>
      <c r="AJ377" s="146"/>
      <c r="AK377" s="146"/>
      <c r="AL377" s="146"/>
      <c r="AM377" s="206"/>
      <c r="AN377" s="146"/>
      <c r="AO377" s="149"/>
      <c r="AP377" s="150"/>
      <c r="AQ377" s="146"/>
      <c r="AR377" s="146"/>
      <c r="AS377" s="146"/>
      <c r="AT377" s="146"/>
      <c r="AU377" s="146"/>
      <c r="AV377" s="146"/>
      <c r="AW377" s="146"/>
      <c r="AX377" s="146"/>
      <c r="AY377" s="146"/>
      <c r="AZ377" s="146"/>
      <c r="BA377" s="147"/>
      <c r="BB377" s="146"/>
      <c r="BC377" s="147"/>
      <c r="BD377" s="147"/>
      <c r="BE377" s="147"/>
      <c r="BF377" s="147"/>
      <c r="BG377" s="147"/>
      <c r="BH377" s="151"/>
      <c r="BI377" s="147"/>
      <c r="BJ377" s="147"/>
      <c r="BK377" s="147"/>
      <c r="BL377" s="146"/>
      <c r="BM377" s="152"/>
      <c r="BN377" s="218"/>
      <c r="BO377" s="153"/>
      <c r="BP377" s="153"/>
      <c r="BQ377" s="219"/>
      <c r="BR377" s="146"/>
      <c r="BS377" s="146"/>
      <c r="BT377" s="146"/>
      <c r="BU377" s="146"/>
      <c r="BV377" s="219"/>
      <c r="BW377" s="146"/>
      <c r="BX377" s="146"/>
      <c r="BY377" s="146"/>
      <c r="BZ377" s="146"/>
      <c r="CA377" s="146"/>
      <c r="CB377" s="146"/>
      <c r="CC377" s="146"/>
      <c r="CD377" s="146"/>
      <c r="CE377" s="146"/>
      <c r="CF377" s="146"/>
      <c r="CG377" s="146"/>
      <c r="CH377" s="146"/>
      <c r="CI377" s="146"/>
      <c r="CJ377" s="146"/>
      <c r="CK377" s="146"/>
      <c r="CL377" s="146"/>
      <c r="CM377" s="146"/>
      <c r="CN377" s="146"/>
      <c r="CO377" s="146"/>
      <c r="CP377" s="146"/>
      <c r="CQ377" s="146"/>
      <c r="CR377" s="146"/>
      <c r="CS377" s="146"/>
      <c r="CT377" s="146"/>
      <c r="CU377" s="146"/>
    </row>
    <row r="378" spans="1:99" ht="16.399999999999999" customHeight="1" x14ac:dyDescent="0.35">
      <c r="A378" s="145"/>
      <c r="B378" s="145"/>
      <c r="C378" s="146"/>
      <c r="D378" s="146"/>
      <c r="E378" s="146"/>
      <c r="F378" s="146"/>
      <c r="G378" s="147"/>
      <c r="H378" s="216"/>
      <c r="I378" s="217"/>
      <c r="J378" s="146"/>
      <c r="K378" s="216"/>
      <c r="L378" s="153"/>
      <c r="M378" s="146"/>
      <c r="N378" s="148"/>
      <c r="O378" s="148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  <c r="AA378" s="146"/>
      <c r="AB378" s="146"/>
      <c r="AC378" s="146"/>
      <c r="AD378" s="146"/>
      <c r="AE378" s="146"/>
      <c r="AF378" s="146"/>
      <c r="AG378" s="146"/>
      <c r="AH378" s="146"/>
      <c r="AI378" s="146"/>
      <c r="AJ378" s="146"/>
      <c r="AK378" s="146"/>
      <c r="AL378" s="146"/>
      <c r="AM378" s="206"/>
      <c r="AN378" s="146"/>
      <c r="AO378" s="149"/>
      <c r="AP378" s="150"/>
      <c r="AQ378" s="146"/>
      <c r="AR378" s="146"/>
      <c r="AS378" s="146"/>
      <c r="AT378" s="146"/>
      <c r="AU378" s="146"/>
      <c r="AV378" s="146"/>
      <c r="AW378" s="146"/>
      <c r="AX378" s="146"/>
      <c r="AY378" s="146"/>
      <c r="AZ378" s="146"/>
      <c r="BA378" s="147"/>
      <c r="BB378" s="146"/>
      <c r="BC378" s="147"/>
      <c r="BD378" s="147"/>
      <c r="BE378" s="147"/>
      <c r="BF378" s="147"/>
      <c r="BG378" s="147"/>
      <c r="BH378" s="151"/>
      <c r="BI378" s="147"/>
      <c r="BJ378" s="147"/>
      <c r="BK378" s="147"/>
      <c r="BL378" s="146"/>
      <c r="BM378" s="152"/>
      <c r="BN378" s="218"/>
      <c r="BO378" s="153"/>
      <c r="BP378" s="153"/>
      <c r="BQ378" s="219"/>
      <c r="BR378" s="146"/>
      <c r="BS378" s="146"/>
      <c r="BT378" s="146"/>
      <c r="BU378" s="146"/>
      <c r="BV378" s="219"/>
      <c r="BW378" s="146"/>
      <c r="BX378" s="146"/>
      <c r="BY378" s="146"/>
      <c r="BZ378" s="146"/>
      <c r="CA378" s="146"/>
      <c r="CB378" s="146"/>
      <c r="CC378" s="146"/>
      <c r="CD378" s="146"/>
      <c r="CE378" s="146"/>
      <c r="CF378" s="146"/>
      <c r="CG378" s="146"/>
      <c r="CH378" s="146"/>
      <c r="CI378" s="146"/>
      <c r="CJ378" s="146"/>
      <c r="CK378" s="146"/>
      <c r="CL378" s="146"/>
      <c r="CM378" s="146"/>
      <c r="CN378" s="146"/>
      <c r="CO378" s="146"/>
      <c r="CP378" s="146"/>
      <c r="CQ378" s="146"/>
      <c r="CR378" s="146"/>
      <c r="CS378" s="146"/>
      <c r="CT378" s="146"/>
      <c r="CU378" s="146"/>
    </row>
    <row r="379" spans="1:99" ht="16.399999999999999" customHeight="1" x14ac:dyDescent="0.35">
      <c r="A379" s="145"/>
      <c r="B379" s="145"/>
      <c r="C379" s="146"/>
      <c r="D379" s="146"/>
      <c r="E379" s="146"/>
      <c r="F379" s="146"/>
      <c r="G379" s="147"/>
      <c r="H379" s="216"/>
      <c r="I379" s="217"/>
      <c r="J379" s="146"/>
      <c r="K379" s="216"/>
      <c r="L379" s="153"/>
      <c r="M379" s="146"/>
      <c r="N379" s="148"/>
      <c r="O379" s="148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  <c r="AA379" s="146"/>
      <c r="AB379" s="146"/>
      <c r="AC379" s="146"/>
      <c r="AD379" s="146"/>
      <c r="AE379" s="146"/>
      <c r="AF379" s="146"/>
      <c r="AG379" s="146"/>
      <c r="AH379" s="146"/>
      <c r="AI379" s="146"/>
      <c r="AJ379" s="146"/>
      <c r="AK379" s="146"/>
      <c r="AL379" s="146"/>
      <c r="AM379" s="206"/>
      <c r="AN379" s="146"/>
      <c r="AO379" s="149"/>
      <c r="AP379" s="150"/>
      <c r="AQ379" s="146"/>
      <c r="AR379" s="146"/>
      <c r="AS379" s="146"/>
      <c r="AT379" s="146"/>
      <c r="AU379" s="146"/>
      <c r="AV379" s="146"/>
      <c r="AW379" s="146"/>
      <c r="AX379" s="146"/>
      <c r="AY379" s="146"/>
      <c r="AZ379" s="146"/>
      <c r="BA379" s="147"/>
      <c r="BB379" s="146"/>
      <c r="BC379" s="147"/>
      <c r="BD379" s="147"/>
      <c r="BE379" s="147"/>
      <c r="BF379" s="147"/>
      <c r="BG379" s="147"/>
      <c r="BH379" s="151"/>
      <c r="BI379" s="147"/>
      <c r="BJ379" s="147"/>
      <c r="BK379" s="147"/>
      <c r="BL379" s="146"/>
      <c r="BM379" s="152"/>
      <c r="BN379" s="218"/>
      <c r="BO379" s="153"/>
      <c r="BP379" s="153"/>
      <c r="BQ379" s="219"/>
      <c r="BR379" s="146"/>
      <c r="BS379" s="146"/>
      <c r="BT379" s="146"/>
      <c r="BU379" s="146"/>
      <c r="BV379" s="219"/>
      <c r="BW379" s="146"/>
      <c r="BX379" s="146"/>
      <c r="BY379" s="146"/>
      <c r="BZ379" s="146"/>
      <c r="CA379" s="146"/>
      <c r="CB379" s="146"/>
      <c r="CC379" s="146"/>
      <c r="CD379" s="146"/>
      <c r="CE379" s="146"/>
      <c r="CF379" s="146"/>
      <c r="CG379" s="146"/>
      <c r="CH379" s="146"/>
      <c r="CI379" s="146"/>
      <c r="CJ379" s="146"/>
      <c r="CK379" s="146"/>
      <c r="CL379" s="146"/>
      <c r="CM379" s="146"/>
      <c r="CN379" s="146"/>
      <c r="CO379" s="146"/>
      <c r="CP379" s="146"/>
      <c r="CQ379" s="146"/>
      <c r="CR379" s="146"/>
      <c r="CS379" s="146"/>
      <c r="CT379" s="146"/>
      <c r="CU379" s="146"/>
    </row>
    <row r="380" spans="1:99" ht="16.399999999999999" customHeight="1" x14ac:dyDescent="0.35">
      <c r="A380" s="145"/>
      <c r="B380" s="145"/>
      <c r="C380" s="146"/>
      <c r="D380" s="146"/>
      <c r="E380" s="146"/>
      <c r="F380" s="146"/>
      <c r="G380" s="147"/>
      <c r="H380" s="216"/>
      <c r="I380" s="217"/>
      <c r="J380" s="146"/>
      <c r="K380" s="216"/>
      <c r="L380" s="153"/>
      <c r="M380" s="146"/>
      <c r="N380" s="148"/>
      <c r="O380" s="148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  <c r="AA380" s="146"/>
      <c r="AB380" s="146"/>
      <c r="AC380" s="146"/>
      <c r="AD380" s="146"/>
      <c r="AE380" s="146"/>
      <c r="AF380" s="146"/>
      <c r="AG380" s="146"/>
      <c r="AH380" s="146"/>
      <c r="AI380" s="146"/>
      <c r="AJ380" s="146"/>
      <c r="AK380" s="146"/>
      <c r="AL380" s="146"/>
      <c r="AM380" s="206"/>
      <c r="AN380" s="146"/>
      <c r="AO380" s="149"/>
      <c r="AP380" s="150"/>
      <c r="AQ380" s="146"/>
      <c r="AR380" s="146"/>
      <c r="AS380" s="146"/>
      <c r="AT380" s="146"/>
      <c r="AU380" s="146"/>
      <c r="AV380" s="146"/>
      <c r="AW380" s="146"/>
      <c r="AX380" s="146"/>
      <c r="AY380" s="146"/>
      <c r="AZ380" s="146"/>
      <c r="BA380" s="147"/>
      <c r="BB380" s="146"/>
      <c r="BC380" s="147"/>
      <c r="BD380" s="147"/>
      <c r="BE380" s="147"/>
      <c r="BF380" s="147"/>
      <c r="BG380" s="147"/>
      <c r="BH380" s="151"/>
      <c r="BI380" s="147"/>
      <c r="BJ380" s="147"/>
      <c r="BK380" s="147"/>
      <c r="BL380" s="146"/>
      <c r="BM380" s="152"/>
      <c r="BN380" s="218"/>
      <c r="BO380" s="153"/>
      <c r="BP380" s="153"/>
      <c r="BQ380" s="219"/>
      <c r="BR380" s="146"/>
      <c r="BS380" s="146"/>
      <c r="BT380" s="146"/>
      <c r="BU380" s="146"/>
      <c r="BV380" s="219"/>
      <c r="BW380" s="146"/>
      <c r="BX380" s="146"/>
      <c r="BY380" s="146"/>
      <c r="BZ380" s="146"/>
      <c r="CA380" s="146"/>
      <c r="CB380" s="146"/>
      <c r="CC380" s="146"/>
      <c r="CD380" s="146"/>
      <c r="CE380" s="146"/>
      <c r="CF380" s="146"/>
      <c r="CG380" s="146"/>
      <c r="CH380" s="146"/>
      <c r="CI380" s="146"/>
      <c r="CJ380" s="146"/>
      <c r="CK380" s="146"/>
      <c r="CL380" s="146"/>
      <c r="CM380" s="146"/>
      <c r="CN380" s="146"/>
      <c r="CO380" s="146"/>
      <c r="CP380" s="146"/>
      <c r="CQ380" s="146"/>
      <c r="CR380" s="146"/>
      <c r="CS380" s="146"/>
      <c r="CT380" s="146"/>
      <c r="CU380" s="146"/>
    </row>
    <row r="381" spans="1:99" ht="16.399999999999999" customHeight="1" x14ac:dyDescent="0.35">
      <c r="A381" s="145"/>
      <c r="B381" s="145"/>
      <c r="C381" s="146"/>
      <c r="D381" s="146"/>
      <c r="E381" s="146"/>
      <c r="F381" s="146"/>
      <c r="G381" s="147"/>
      <c r="H381" s="216"/>
      <c r="I381" s="217"/>
      <c r="J381" s="146"/>
      <c r="K381" s="216"/>
      <c r="L381" s="153"/>
      <c r="M381" s="146"/>
      <c r="N381" s="148"/>
      <c r="O381" s="148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  <c r="AD381" s="146"/>
      <c r="AE381" s="146"/>
      <c r="AF381" s="146"/>
      <c r="AG381" s="146"/>
      <c r="AH381" s="146"/>
      <c r="AI381" s="146"/>
      <c r="AJ381" s="146"/>
      <c r="AK381" s="146"/>
      <c r="AL381" s="146"/>
      <c r="AM381" s="206"/>
      <c r="AN381" s="146"/>
      <c r="AO381" s="149"/>
      <c r="AP381" s="150"/>
      <c r="AQ381" s="146"/>
      <c r="AR381" s="146"/>
      <c r="AS381" s="146"/>
      <c r="AT381" s="146"/>
      <c r="AU381" s="146"/>
      <c r="AV381" s="146"/>
      <c r="AW381" s="146"/>
      <c r="AX381" s="146"/>
      <c r="AY381" s="146"/>
      <c r="AZ381" s="146"/>
      <c r="BA381" s="147"/>
      <c r="BB381" s="146"/>
      <c r="BC381" s="147"/>
      <c r="BD381" s="147"/>
      <c r="BE381" s="147"/>
      <c r="BF381" s="147"/>
      <c r="BG381" s="147"/>
      <c r="BH381" s="151"/>
      <c r="BI381" s="147"/>
      <c r="BJ381" s="147"/>
      <c r="BK381" s="147"/>
      <c r="BL381" s="146"/>
      <c r="BM381" s="152"/>
      <c r="BN381" s="218"/>
      <c r="BO381" s="153"/>
      <c r="BP381" s="153"/>
      <c r="BQ381" s="219"/>
      <c r="BR381" s="146"/>
      <c r="BS381" s="146"/>
      <c r="BT381" s="146"/>
      <c r="BU381" s="146"/>
      <c r="BV381" s="219"/>
      <c r="BW381" s="146"/>
      <c r="BX381" s="146"/>
      <c r="BY381" s="146"/>
      <c r="BZ381" s="146"/>
      <c r="CA381" s="146"/>
      <c r="CB381" s="146"/>
      <c r="CC381" s="146"/>
      <c r="CD381" s="146"/>
      <c r="CE381" s="146"/>
      <c r="CF381" s="146"/>
      <c r="CG381" s="146"/>
      <c r="CH381" s="146"/>
      <c r="CI381" s="146"/>
      <c r="CJ381" s="146"/>
      <c r="CK381" s="146"/>
      <c r="CL381" s="146"/>
      <c r="CM381" s="146"/>
      <c r="CN381" s="146"/>
      <c r="CO381" s="146"/>
      <c r="CP381" s="146"/>
      <c r="CQ381" s="146"/>
      <c r="CR381" s="146"/>
      <c r="CS381" s="146"/>
      <c r="CT381" s="146"/>
      <c r="CU381" s="146"/>
    </row>
    <row r="382" spans="1:99" ht="16.399999999999999" customHeight="1" x14ac:dyDescent="0.35">
      <c r="A382" s="145"/>
      <c r="B382" s="145"/>
      <c r="C382" s="146"/>
      <c r="D382" s="146"/>
      <c r="E382" s="146"/>
      <c r="F382" s="146"/>
      <c r="G382" s="147"/>
      <c r="H382" s="216"/>
      <c r="I382" s="217"/>
      <c r="J382" s="146"/>
      <c r="K382" s="216"/>
      <c r="L382" s="153"/>
      <c r="M382" s="146"/>
      <c r="N382" s="148"/>
      <c r="O382" s="148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  <c r="AA382" s="146"/>
      <c r="AB382" s="146"/>
      <c r="AC382" s="146"/>
      <c r="AD382" s="146"/>
      <c r="AE382" s="146"/>
      <c r="AF382" s="146"/>
      <c r="AG382" s="146"/>
      <c r="AH382" s="146"/>
      <c r="AI382" s="146"/>
      <c r="AJ382" s="146"/>
      <c r="AK382" s="146"/>
      <c r="AL382" s="146"/>
      <c r="AM382" s="206"/>
      <c r="AN382" s="146"/>
      <c r="AO382" s="149"/>
      <c r="AP382" s="150"/>
      <c r="AQ382" s="146"/>
      <c r="AR382" s="146"/>
      <c r="AS382" s="146"/>
      <c r="AT382" s="146"/>
      <c r="AU382" s="146"/>
      <c r="AV382" s="146"/>
      <c r="AW382" s="146"/>
      <c r="AX382" s="146"/>
      <c r="AY382" s="146"/>
      <c r="AZ382" s="146"/>
      <c r="BA382" s="147"/>
      <c r="BB382" s="146"/>
      <c r="BC382" s="147"/>
      <c r="BD382" s="147"/>
      <c r="BE382" s="147"/>
      <c r="BF382" s="147"/>
      <c r="BG382" s="147"/>
      <c r="BH382" s="151"/>
      <c r="BI382" s="147"/>
      <c r="BJ382" s="147"/>
      <c r="BK382" s="147"/>
      <c r="BL382" s="146"/>
      <c r="BM382" s="152"/>
      <c r="BN382" s="218"/>
      <c r="BO382" s="153"/>
      <c r="BP382" s="153"/>
      <c r="BQ382" s="219"/>
      <c r="BR382" s="146"/>
      <c r="BS382" s="146"/>
      <c r="BT382" s="146"/>
      <c r="BU382" s="146"/>
      <c r="BV382" s="219"/>
      <c r="BW382" s="146"/>
      <c r="BX382" s="146"/>
      <c r="BY382" s="146"/>
      <c r="BZ382" s="146"/>
      <c r="CA382" s="146"/>
      <c r="CB382" s="146"/>
      <c r="CC382" s="146"/>
      <c r="CD382" s="146"/>
      <c r="CE382" s="146"/>
      <c r="CF382" s="146"/>
      <c r="CG382" s="146"/>
      <c r="CH382" s="146"/>
      <c r="CI382" s="146"/>
      <c r="CJ382" s="146"/>
      <c r="CK382" s="146"/>
      <c r="CL382" s="146"/>
      <c r="CM382" s="146"/>
      <c r="CN382" s="146"/>
      <c r="CO382" s="146"/>
      <c r="CP382" s="146"/>
      <c r="CQ382" s="146"/>
      <c r="CR382" s="146"/>
      <c r="CS382" s="146"/>
      <c r="CT382" s="146"/>
      <c r="CU382" s="146"/>
    </row>
    <row r="383" spans="1:99" ht="16.399999999999999" customHeight="1" x14ac:dyDescent="0.35">
      <c r="A383" s="145"/>
      <c r="B383" s="145"/>
      <c r="C383" s="146"/>
      <c r="D383" s="146"/>
      <c r="E383" s="146"/>
      <c r="F383" s="146"/>
      <c r="G383" s="147"/>
      <c r="H383" s="216"/>
      <c r="I383" s="217"/>
      <c r="J383" s="146"/>
      <c r="K383" s="216"/>
      <c r="L383" s="153"/>
      <c r="M383" s="146"/>
      <c r="N383" s="148"/>
      <c r="O383" s="148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206"/>
      <c r="AN383" s="146"/>
      <c r="AO383" s="149"/>
      <c r="AP383" s="150"/>
      <c r="AQ383" s="146"/>
      <c r="AR383" s="146"/>
      <c r="AS383" s="146"/>
      <c r="AT383" s="146"/>
      <c r="AU383" s="146"/>
      <c r="AV383" s="146"/>
      <c r="AW383" s="146"/>
      <c r="AX383" s="146"/>
      <c r="AY383" s="146"/>
      <c r="AZ383" s="146"/>
      <c r="BA383" s="147"/>
      <c r="BB383" s="146"/>
      <c r="BC383" s="147"/>
      <c r="BD383" s="147"/>
      <c r="BE383" s="147"/>
      <c r="BF383" s="147"/>
      <c r="BG383" s="147"/>
      <c r="BH383" s="151"/>
      <c r="BI383" s="147"/>
      <c r="BJ383" s="147"/>
      <c r="BK383" s="147"/>
      <c r="BL383" s="146"/>
      <c r="BM383" s="152"/>
      <c r="BN383" s="218"/>
      <c r="BO383" s="153"/>
      <c r="BP383" s="153"/>
      <c r="BQ383" s="219"/>
      <c r="BR383" s="146"/>
      <c r="BS383" s="146"/>
      <c r="BT383" s="146"/>
      <c r="BU383" s="146"/>
      <c r="BV383" s="219"/>
      <c r="BW383" s="146"/>
      <c r="BX383" s="146"/>
      <c r="BY383" s="146"/>
      <c r="BZ383" s="146"/>
      <c r="CA383" s="146"/>
      <c r="CB383" s="146"/>
      <c r="CC383" s="146"/>
      <c r="CD383" s="146"/>
      <c r="CE383" s="146"/>
      <c r="CF383" s="146"/>
      <c r="CG383" s="146"/>
      <c r="CH383" s="146"/>
      <c r="CI383" s="146"/>
      <c r="CJ383" s="146"/>
      <c r="CK383" s="146"/>
      <c r="CL383" s="146"/>
      <c r="CM383" s="146"/>
      <c r="CN383" s="146"/>
      <c r="CO383" s="146"/>
      <c r="CP383" s="146"/>
      <c r="CQ383" s="146"/>
      <c r="CR383" s="146"/>
      <c r="CS383" s="146"/>
      <c r="CT383" s="146"/>
      <c r="CU383" s="146"/>
    </row>
    <row r="384" spans="1:99" ht="16.399999999999999" customHeight="1" x14ac:dyDescent="0.35">
      <c r="A384" s="145"/>
      <c r="B384" s="145"/>
      <c r="C384" s="146"/>
      <c r="D384" s="146"/>
      <c r="E384" s="146"/>
      <c r="F384" s="146"/>
      <c r="G384" s="147"/>
      <c r="H384" s="216"/>
      <c r="I384" s="217"/>
      <c r="J384" s="146"/>
      <c r="K384" s="216"/>
      <c r="L384" s="153"/>
      <c r="M384" s="146"/>
      <c r="N384" s="148"/>
      <c r="O384" s="148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  <c r="AA384" s="146"/>
      <c r="AB384" s="146"/>
      <c r="AC384" s="146"/>
      <c r="AD384" s="146"/>
      <c r="AE384" s="146"/>
      <c r="AF384" s="146"/>
      <c r="AG384" s="146"/>
      <c r="AH384" s="146"/>
      <c r="AI384" s="146"/>
      <c r="AJ384" s="146"/>
      <c r="AK384" s="146"/>
      <c r="AL384" s="146"/>
      <c r="AM384" s="206"/>
      <c r="AN384" s="146"/>
      <c r="AO384" s="149"/>
      <c r="AP384" s="150"/>
      <c r="AQ384" s="146"/>
      <c r="AR384" s="146"/>
      <c r="AS384" s="146"/>
      <c r="AT384" s="146"/>
      <c r="AU384" s="146"/>
      <c r="AV384" s="146"/>
      <c r="AW384" s="146"/>
      <c r="AX384" s="146"/>
      <c r="AY384" s="146"/>
      <c r="AZ384" s="146"/>
      <c r="BA384" s="147"/>
      <c r="BB384" s="146"/>
      <c r="BC384" s="147"/>
      <c r="BD384" s="147"/>
      <c r="BE384" s="147"/>
      <c r="BF384" s="147"/>
      <c r="BG384" s="147"/>
      <c r="BH384" s="151"/>
      <c r="BI384" s="147"/>
      <c r="BJ384" s="147"/>
      <c r="BK384" s="147"/>
      <c r="BL384" s="146"/>
      <c r="BM384" s="152"/>
      <c r="BN384" s="218"/>
      <c r="BO384" s="153"/>
      <c r="BP384" s="153"/>
      <c r="BQ384" s="219"/>
      <c r="BR384" s="146"/>
      <c r="BS384" s="146"/>
      <c r="BT384" s="146"/>
      <c r="BU384" s="146"/>
      <c r="BV384" s="219"/>
      <c r="BW384" s="146"/>
      <c r="BX384" s="146"/>
      <c r="BY384" s="146"/>
      <c r="BZ384" s="146"/>
      <c r="CA384" s="146"/>
      <c r="CB384" s="146"/>
      <c r="CC384" s="146"/>
      <c r="CD384" s="146"/>
      <c r="CE384" s="146"/>
      <c r="CF384" s="146"/>
      <c r="CG384" s="146"/>
      <c r="CH384" s="146"/>
      <c r="CI384" s="146"/>
      <c r="CJ384" s="146"/>
      <c r="CK384" s="146"/>
      <c r="CL384" s="146"/>
      <c r="CM384" s="146"/>
      <c r="CN384" s="146"/>
      <c r="CO384" s="146"/>
      <c r="CP384" s="146"/>
      <c r="CQ384" s="146"/>
      <c r="CR384" s="146"/>
      <c r="CS384" s="146"/>
      <c r="CT384" s="146"/>
      <c r="CU384" s="146"/>
    </row>
    <row r="385" spans="1:99" ht="16.399999999999999" customHeight="1" x14ac:dyDescent="0.35">
      <c r="A385" s="145"/>
      <c r="B385" s="145"/>
      <c r="C385" s="146"/>
      <c r="D385" s="146"/>
      <c r="E385" s="146"/>
      <c r="F385" s="146"/>
      <c r="G385" s="147"/>
      <c r="H385" s="216"/>
      <c r="I385" s="217"/>
      <c r="J385" s="146"/>
      <c r="K385" s="216"/>
      <c r="L385" s="153"/>
      <c r="M385" s="146"/>
      <c r="N385" s="148"/>
      <c r="O385" s="148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  <c r="AA385" s="146"/>
      <c r="AB385" s="146"/>
      <c r="AC385" s="146"/>
      <c r="AD385" s="146"/>
      <c r="AE385" s="146"/>
      <c r="AF385" s="146"/>
      <c r="AG385" s="146"/>
      <c r="AH385" s="146"/>
      <c r="AI385" s="146"/>
      <c r="AJ385" s="146"/>
      <c r="AK385" s="146"/>
      <c r="AL385" s="146"/>
      <c r="AM385" s="206"/>
      <c r="AN385" s="146"/>
      <c r="AO385" s="149"/>
      <c r="AP385" s="150"/>
      <c r="AQ385" s="146"/>
      <c r="AR385" s="146"/>
      <c r="AS385" s="146"/>
      <c r="AT385" s="146"/>
      <c r="AU385" s="146"/>
      <c r="AV385" s="146"/>
      <c r="AW385" s="146"/>
      <c r="AX385" s="146"/>
      <c r="AY385" s="146"/>
      <c r="AZ385" s="146"/>
      <c r="BA385" s="147"/>
      <c r="BB385" s="146"/>
      <c r="BC385" s="147"/>
      <c r="BD385" s="147"/>
      <c r="BE385" s="147"/>
      <c r="BF385" s="147"/>
      <c r="BG385" s="147"/>
      <c r="BH385" s="151"/>
      <c r="BI385" s="147"/>
      <c r="BJ385" s="147"/>
      <c r="BK385" s="147"/>
      <c r="BL385" s="146"/>
      <c r="BM385" s="152"/>
      <c r="BN385" s="218"/>
      <c r="BO385" s="153"/>
      <c r="BP385" s="153"/>
      <c r="BQ385" s="219"/>
      <c r="BR385" s="146"/>
      <c r="BS385" s="146"/>
      <c r="BT385" s="146"/>
      <c r="BU385" s="146"/>
      <c r="BV385" s="219"/>
      <c r="BW385" s="146"/>
      <c r="BX385" s="146"/>
      <c r="BY385" s="146"/>
      <c r="BZ385" s="146"/>
      <c r="CA385" s="146"/>
      <c r="CB385" s="146"/>
      <c r="CC385" s="146"/>
      <c r="CD385" s="146"/>
      <c r="CE385" s="146"/>
      <c r="CF385" s="146"/>
      <c r="CG385" s="146"/>
      <c r="CH385" s="146"/>
      <c r="CI385" s="146"/>
      <c r="CJ385" s="146"/>
      <c r="CK385" s="146"/>
      <c r="CL385" s="146"/>
      <c r="CM385" s="146"/>
      <c r="CN385" s="146"/>
      <c r="CO385" s="146"/>
      <c r="CP385" s="146"/>
      <c r="CQ385" s="146"/>
      <c r="CR385" s="146"/>
      <c r="CS385" s="146"/>
      <c r="CT385" s="146"/>
      <c r="CU385" s="146"/>
    </row>
    <row r="386" spans="1:99" ht="16.399999999999999" customHeight="1" x14ac:dyDescent="0.35">
      <c r="A386" s="145"/>
      <c r="B386" s="145"/>
      <c r="C386" s="146"/>
      <c r="D386" s="146"/>
      <c r="E386" s="146"/>
      <c r="F386" s="146"/>
      <c r="G386" s="147"/>
      <c r="H386" s="216"/>
      <c r="I386" s="217"/>
      <c r="J386" s="146"/>
      <c r="K386" s="216"/>
      <c r="L386" s="153"/>
      <c r="M386" s="146"/>
      <c r="N386" s="148"/>
      <c r="O386" s="148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  <c r="AA386" s="146"/>
      <c r="AB386" s="146"/>
      <c r="AC386" s="146"/>
      <c r="AD386" s="146"/>
      <c r="AE386" s="146"/>
      <c r="AF386" s="146"/>
      <c r="AG386" s="146"/>
      <c r="AH386" s="146"/>
      <c r="AI386" s="146"/>
      <c r="AJ386" s="146"/>
      <c r="AK386" s="146"/>
      <c r="AL386" s="146"/>
      <c r="AM386" s="206"/>
      <c r="AN386" s="146"/>
      <c r="AO386" s="149"/>
      <c r="AP386" s="150"/>
      <c r="AQ386" s="146"/>
      <c r="AR386" s="146"/>
      <c r="AS386" s="146"/>
      <c r="AT386" s="146"/>
      <c r="AU386" s="146"/>
      <c r="AV386" s="146"/>
      <c r="AW386" s="146"/>
      <c r="AX386" s="146"/>
      <c r="AY386" s="146"/>
      <c r="AZ386" s="146"/>
      <c r="BA386" s="147"/>
      <c r="BB386" s="146"/>
      <c r="BC386" s="147"/>
      <c r="BD386" s="147"/>
      <c r="BE386" s="147"/>
      <c r="BF386" s="147"/>
      <c r="BG386" s="147"/>
      <c r="BH386" s="151"/>
      <c r="BI386" s="147"/>
      <c r="BJ386" s="147"/>
      <c r="BK386" s="147"/>
      <c r="BL386" s="146"/>
      <c r="BM386" s="152"/>
      <c r="BN386" s="218"/>
      <c r="BO386" s="153"/>
      <c r="BP386" s="153"/>
      <c r="BQ386" s="219"/>
      <c r="BR386" s="146"/>
      <c r="BS386" s="146"/>
      <c r="BT386" s="146"/>
      <c r="BU386" s="146"/>
      <c r="BV386" s="219"/>
      <c r="BW386" s="146"/>
      <c r="BX386" s="146"/>
      <c r="BY386" s="146"/>
      <c r="BZ386" s="146"/>
      <c r="CA386" s="146"/>
      <c r="CB386" s="146"/>
      <c r="CC386" s="146"/>
      <c r="CD386" s="146"/>
      <c r="CE386" s="146"/>
      <c r="CF386" s="146"/>
      <c r="CG386" s="146"/>
      <c r="CH386" s="146"/>
      <c r="CI386" s="146"/>
      <c r="CJ386" s="146"/>
      <c r="CK386" s="146"/>
      <c r="CL386" s="146"/>
      <c r="CM386" s="146"/>
      <c r="CN386" s="146"/>
      <c r="CO386" s="146"/>
      <c r="CP386" s="146"/>
      <c r="CQ386" s="146"/>
      <c r="CR386" s="146"/>
      <c r="CS386" s="146"/>
      <c r="CT386" s="146"/>
      <c r="CU386" s="146"/>
    </row>
    <row r="387" spans="1:99" ht="16.399999999999999" customHeight="1" x14ac:dyDescent="0.35">
      <c r="A387" s="145"/>
      <c r="B387" s="145"/>
      <c r="C387" s="146"/>
      <c r="D387" s="146"/>
      <c r="E387" s="146"/>
      <c r="F387" s="146"/>
      <c r="G387" s="147"/>
      <c r="H387" s="216"/>
      <c r="I387" s="217"/>
      <c r="J387" s="146"/>
      <c r="K387" s="216"/>
      <c r="L387" s="153"/>
      <c r="M387" s="146"/>
      <c r="N387" s="148"/>
      <c r="O387" s="148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  <c r="AA387" s="146"/>
      <c r="AB387" s="146"/>
      <c r="AC387" s="146"/>
      <c r="AD387" s="146"/>
      <c r="AE387" s="146"/>
      <c r="AF387" s="146"/>
      <c r="AG387" s="146"/>
      <c r="AH387" s="146"/>
      <c r="AI387" s="146"/>
      <c r="AJ387" s="146"/>
      <c r="AK387" s="146"/>
      <c r="AL387" s="146"/>
      <c r="AM387" s="206"/>
      <c r="AN387" s="146"/>
      <c r="AO387" s="149"/>
      <c r="AP387" s="150"/>
      <c r="AQ387" s="146"/>
      <c r="AR387" s="146"/>
      <c r="AS387" s="146"/>
      <c r="AT387" s="146"/>
      <c r="AU387" s="146"/>
      <c r="AV387" s="146"/>
      <c r="AW387" s="146"/>
      <c r="AX387" s="146"/>
      <c r="AY387" s="146"/>
      <c r="AZ387" s="146"/>
      <c r="BA387" s="147"/>
      <c r="BB387" s="146"/>
      <c r="BC387" s="147"/>
      <c r="BD387" s="147"/>
      <c r="BE387" s="147"/>
      <c r="BF387" s="147"/>
      <c r="BG387" s="147"/>
      <c r="BH387" s="151"/>
      <c r="BI387" s="147"/>
      <c r="BJ387" s="147"/>
      <c r="BK387" s="147"/>
      <c r="BL387" s="146"/>
      <c r="BM387" s="152"/>
      <c r="BN387" s="218"/>
      <c r="BO387" s="153"/>
      <c r="BP387" s="153"/>
      <c r="BQ387" s="219"/>
      <c r="BR387" s="146"/>
      <c r="BS387" s="146"/>
      <c r="BT387" s="146"/>
      <c r="BU387" s="146"/>
      <c r="BV387" s="219"/>
      <c r="BW387" s="146"/>
      <c r="BX387" s="146"/>
      <c r="BY387" s="146"/>
      <c r="BZ387" s="146"/>
      <c r="CA387" s="146"/>
      <c r="CB387" s="146"/>
      <c r="CC387" s="146"/>
      <c r="CD387" s="146"/>
      <c r="CE387" s="146"/>
      <c r="CF387" s="146"/>
      <c r="CG387" s="146"/>
      <c r="CH387" s="146"/>
      <c r="CI387" s="146"/>
      <c r="CJ387" s="146"/>
      <c r="CK387" s="146"/>
      <c r="CL387" s="146"/>
      <c r="CM387" s="146"/>
      <c r="CN387" s="146"/>
      <c r="CO387" s="146"/>
      <c r="CP387" s="146"/>
      <c r="CQ387" s="146"/>
      <c r="CR387" s="146"/>
      <c r="CS387" s="146"/>
      <c r="CT387" s="146"/>
      <c r="CU387" s="146"/>
    </row>
    <row r="388" spans="1:99" ht="16.399999999999999" customHeight="1" x14ac:dyDescent="0.35">
      <c r="A388" s="145"/>
      <c r="B388" s="145"/>
      <c r="C388" s="146"/>
      <c r="D388" s="146"/>
      <c r="E388" s="146"/>
      <c r="F388" s="146"/>
      <c r="G388" s="147"/>
      <c r="H388" s="216"/>
      <c r="I388" s="217"/>
      <c r="J388" s="146"/>
      <c r="K388" s="216"/>
      <c r="L388" s="153"/>
      <c r="M388" s="146"/>
      <c r="N388" s="148"/>
      <c r="O388" s="148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  <c r="AA388" s="146"/>
      <c r="AB388" s="146"/>
      <c r="AC388" s="146"/>
      <c r="AD388" s="146"/>
      <c r="AE388" s="146"/>
      <c r="AF388" s="146"/>
      <c r="AG388" s="146"/>
      <c r="AH388" s="146"/>
      <c r="AI388" s="146"/>
      <c r="AJ388" s="146"/>
      <c r="AK388" s="146"/>
      <c r="AL388" s="146"/>
      <c r="AM388" s="206"/>
      <c r="AN388" s="146"/>
      <c r="AO388" s="149"/>
      <c r="AP388" s="150"/>
      <c r="AQ388" s="146"/>
      <c r="AR388" s="146"/>
      <c r="AS388" s="146"/>
      <c r="AT388" s="146"/>
      <c r="AU388" s="146"/>
      <c r="AV388" s="146"/>
      <c r="AW388" s="146"/>
      <c r="AX388" s="146"/>
      <c r="AY388" s="146"/>
      <c r="AZ388" s="146"/>
      <c r="BA388" s="147"/>
      <c r="BB388" s="146"/>
      <c r="BC388" s="147"/>
      <c r="BD388" s="147"/>
      <c r="BE388" s="147"/>
      <c r="BF388" s="147"/>
      <c r="BG388" s="147"/>
      <c r="BH388" s="151"/>
      <c r="BI388" s="147"/>
      <c r="BJ388" s="147"/>
      <c r="BK388" s="147"/>
      <c r="BL388" s="146"/>
      <c r="BM388" s="152"/>
      <c r="BN388" s="218"/>
      <c r="BO388" s="153"/>
      <c r="BP388" s="153"/>
      <c r="BQ388" s="219"/>
      <c r="BR388" s="146"/>
      <c r="BS388" s="146"/>
      <c r="BT388" s="146"/>
      <c r="BU388" s="146"/>
      <c r="BV388" s="219"/>
      <c r="BW388" s="146"/>
      <c r="BX388" s="146"/>
      <c r="BY388" s="146"/>
      <c r="BZ388" s="146"/>
      <c r="CA388" s="146"/>
      <c r="CB388" s="146"/>
      <c r="CC388" s="146"/>
      <c r="CD388" s="146"/>
      <c r="CE388" s="146"/>
      <c r="CF388" s="146"/>
      <c r="CG388" s="146"/>
      <c r="CH388" s="146"/>
      <c r="CI388" s="146"/>
      <c r="CJ388" s="146"/>
      <c r="CK388" s="146"/>
      <c r="CL388" s="146"/>
      <c r="CM388" s="146"/>
      <c r="CN388" s="146"/>
      <c r="CO388" s="146"/>
      <c r="CP388" s="146"/>
      <c r="CQ388" s="146"/>
      <c r="CR388" s="146"/>
      <c r="CS388" s="146"/>
      <c r="CT388" s="146"/>
      <c r="CU388" s="146"/>
    </row>
    <row r="389" spans="1:99" ht="16.399999999999999" customHeight="1" x14ac:dyDescent="0.35">
      <c r="A389" s="145"/>
      <c r="B389" s="145"/>
      <c r="C389" s="146"/>
      <c r="D389" s="146"/>
      <c r="E389" s="146"/>
      <c r="F389" s="146"/>
      <c r="G389" s="147"/>
      <c r="H389" s="216"/>
      <c r="I389" s="217"/>
      <c r="J389" s="146"/>
      <c r="K389" s="216"/>
      <c r="L389" s="153"/>
      <c r="M389" s="146"/>
      <c r="N389" s="148"/>
      <c r="O389" s="148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  <c r="AA389" s="146"/>
      <c r="AB389" s="146"/>
      <c r="AC389" s="146"/>
      <c r="AD389" s="146"/>
      <c r="AE389" s="146"/>
      <c r="AF389" s="146"/>
      <c r="AG389" s="146"/>
      <c r="AH389" s="146"/>
      <c r="AI389" s="146"/>
      <c r="AJ389" s="146"/>
      <c r="AK389" s="146"/>
      <c r="AL389" s="146"/>
      <c r="AM389" s="206"/>
      <c r="AN389" s="146"/>
      <c r="AO389" s="149"/>
      <c r="AP389" s="150"/>
      <c r="AQ389" s="146"/>
      <c r="AR389" s="146"/>
      <c r="AS389" s="146"/>
      <c r="AT389" s="146"/>
      <c r="AU389" s="146"/>
      <c r="AV389" s="146"/>
      <c r="AW389" s="146"/>
      <c r="AX389" s="146"/>
      <c r="AY389" s="146"/>
      <c r="AZ389" s="146"/>
      <c r="BA389" s="147"/>
      <c r="BB389" s="146"/>
      <c r="BC389" s="147"/>
      <c r="BD389" s="147"/>
      <c r="BE389" s="147"/>
      <c r="BF389" s="147"/>
      <c r="BG389" s="147"/>
      <c r="BH389" s="151"/>
      <c r="BI389" s="147"/>
      <c r="BJ389" s="147"/>
      <c r="BK389" s="147"/>
      <c r="BL389" s="146"/>
      <c r="BM389" s="152"/>
      <c r="BN389" s="218"/>
      <c r="BO389" s="153"/>
      <c r="BP389" s="153"/>
      <c r="BQ389" s="219"/>
      <c r="BR389" s="146"/>
      <c r="BS389" s="146"/>
      <c r="BT389" s="146"/>
      <c r="BU389" s="146"/>
      <c r="BV389" s="219"/>
      <c r="BW389" s="146"/>
      <c r="BX389" s="146"/>
      <c r="BY389" s="146"/>
      <c r="BZ389" s="146"/>
      <c r="CA389" s="146"/>
      <c r="CB389" s="146"/>
      <c r="CC389" s="146"/>
      <c r="CD389" s="146"/>
      <c r="CE389" s="146"/>
      <c r="CF389" s="146"/>
      <c r="CG389" s="146"/>
      <c r="CH389" s="146"/>
      <c r="CI389" s="146"/>
      <c r="CJ389" s="146"/>
      <c r="CK389" s="146"/>
      <c r="CL389" s="146"/>
      <c r="CM389" s="146"/>
      <c r="CN389" s="146"/>
      <c r="CO389" s="146"/>
      <c r="CP389" s="146"/>
      <c r="CQ389" s="146"/>
      <c r="CR389" s="146"/>
      <c r="CS389" s="146"/>
      <c r="CT389" s="146"/>
      <c r="CU389" s="146"/>
    </row>
    <row r="390" spans="1:99" ht="16.399999999999999" customHeight="1" x14ac:dyDescent="0.35">
      <c r="A390" s="145"/>
      <c r="B390" s="145"/>
      <c r="C390" s="146"/>
      <c r="D390" s="146"/>
      <c r="E390" s="146"/>
      <c r="F390" s="146"/>
      <c r="G390" s="147"/>
      <c r="H390" s="216"/>
      <c r="I390" s="217"/>
      <c r="J390" s="146"/>
      <c r="K390" s="216"/>
      <c r="L390" s="153"/>
      <c r="M390" s="146"/>
      <c r="N390" s="148"/>
      <c r="O390" s="148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  <c r="AA390" s="146"/>
      <c r="AB390" s="146"/>
      <c r="AC390" s="146"/>
      <c r="AD390" s="146"/>
      <c r="AE390" s="146"/>
      <c r="AF390" s="146"/>
      <c r="AG390" s="146"/>
      <c r="AH390" s="146"/>
      <c r="AI390" s="146"/>
      <c r="AJ390" s="146"/>
      <c r="AK390" s="146"/>
      <c r="AL390" s="146"/>
      <c r="AM390" s="206"/>
      <c r="AN390" s="146"/>
      <c r="AO390" s="149"/>
      <c r="AP390" s="150"/>
      <c r="AQ390" s="146"/>
      <c r="AR390" s="146"/>
      <c r="AS390" s="146"/>
      <c r="AT390" s="146"/>
      <c r="AU390" s="146"/>
      <c r="AV390" s="146"/>
      <c r="AW390" s="146"/>
      <c r="AX390" s="146"/>
      <c r="AY390" s="146"/>
      <c r="AZ390" s="146"/>
      <c r="BA390" s="147"/>
      <c r="BB390" s="146"/>
      <c r="BC390" s="147"/>
      <c r="BD390" s="147"/>
      <c r="BE390" s="147"/>
      <c r="BF390" s="147"/>
      <c r="BG390" s="147"/>
      <c r="BH390" s="151"/>
      <c r="BI390" s="147"/>
      <c r="BJ390" s="147"/>
      <c r="BK390" s="147"/>
      <c r="BL390" s="146"/>
      <c r="BM390" s="152"/>
      <c r="BN390" s="218"/>
      <c r="BO390" s="153"/>
      <c r="BP390" s="153"/>
      <c r="BQ390" s="219"/>
      <c r="BR390" s="146"/>
      <c r="BS390" s="146"/>
      <c r="BT390" s="146"/>
      <c r="BU390" s="146"/>
      <c r="BV390" s="219"/>
      <c r="BW390" s="146"/>
      <c r="BX390" s="146"/>
      <c r="BY390" s="146"/>
      <c r="BZ390" s="146"/>
      <c r="CA390" s="146"/>
      <c r="CB390" s="146"/>
      <c r="CC390" s="146"/>
      <c r="CD390" s="146"/>
      <c r="CE390" s="146"/>
      <c r="CF390" s="146"/>
      <c r="CG390" s="146"/>
      <c r="CH390" s="146"/>
      <c r="CI390" s="146"/>
      <c r="CJ390" s="146"/>
      <c r="CK390" s="146"/>
      <c r="CL390" s="146"/>
      <c r="CM390" s="146"/>
      <c r="CN390" s="146"/>
      <c r="CO390" s="146"/>
      <c r="CP390" s="146"/>
      <c r="CQ390" s="146"/>
      <c r="CR390" s="146"/>
      <c r="CS390" s="146"/>
      <c r="CT390" s="146"/>
      <c r="CU390" s="146"/>
    </row>
    <row r="391" spans="1:99" ht="16.399999999999999" customHeight="1" x14ac:dyDescent="0.35">
      <c r="A391" s="145"/>
      <c r="B391" s="145"/>
      <c r="C391" s="146"/>
      <c r="D391" s="146"/>
      <c r="E391" s="146"/>
      <c r="F391" s="146"/>
      <c r="G391" s="147"/>
      <c r="H391" s="216"/>
      <c r="I391" s="217"/>
      <c r="J391" s="146"/>
      <c r="K391" s="216"/>
      <c r="L391" s="153"/>
      <c r="M391" s="146"/>
      <c r="N391" s="148"/>
      <c r="O391" s="148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  <c r="AA391" s="146"/>
      <c r="AB391" s="146"/>
      <c r="AC391" s="146"/>
      <c r="AD391" s="146"/>
      <c r="AE391" s="146"/>
      <c r="AF391" s="146"/>
      <c r="AG391" s="146"/>
      <c r="AH391" s="146"/>
      <c r="AI391" s="146"/>
      <c r="AJ391" s="146"/>
      <c r="AK391" s="146"/>
      <c r="AL391" s="146"/>
      <c r="AM391" s="206"/>
      <c r="AN391" s="146"/>
      <c r="AO391" s="149"/>
      <c r="AP391" s="150"/>
      <c r="AQ391" s="146"/>
      <c r="AR391" s="146"/>
      <c r="AS391" s="146"/>
      <c r="AT391" s="146"/>
      <c r="AU391" s="146"/>
      <c r="AV391" s="146"/>
      <c r="AW391" s="146"/>
      <c r="AX391" s="146"/>
      <c r="AY391" s="146"/>
      <c r="AZ391" s="146"/>
      <c r="BA391" s="147"/>
      <c r="BB391" s="146"/>
      <c r="BC391" s="147"/>
      <c r="BD391" s="147"/>
      <c r="BE391" s="147"/>
      <c r="BF391" s="147"/>
      <c r="BG391" s="147"/>
      <c r="BH391" s="151"/>
      <c r="BI391" s="147"/>
      <c r="BJ391" s="147"/>
      <c r="BK391" s="147"/>
      <c r="BL391" s="146"/>
      <c r="BM391" s="152"/>
      <c r="BN391" s="218"/>
      <c r="BO391" s="153"/>
      <c r="BP391" s="153"/>
      <c r="BQ391" s="219"/>
      <c r="BR391" s="146"/>
      <c r="BS391" s="146"/>
      <c r="BT391" s="146"/>
      <c r="BU391" s="146"/>
      <c r="BV391" s="219"/>
      <c r="BW391" s="146"/>
      <c r="BX391" s="146"/>
      <c r="BY391" s="146"/>
      <c r="BZ391" s="146"/>
      <c r="CA391" s="146"/>
      <c r="CB391" s="146"/>
      <c r="CC391" s="146"/>
      <c r="CD391" s="146"/>
      <c r="CE391" s="146"/>
      <c r="CF391" s="146"/>
      <c r="CG391" s="146"/>
      <c r="CH391" s="146"/>
      <c r="CI391" s="146"/>
      <c r="CJ391" s="146"/>
      <c r="CK391" s="146"/>
      <c r="CL391" s="146"/>
      <c r="CM391" s="146"/>
      <c r="CN391" s="146"/>
      <c r="CO391" s="146"/>
      <c r="CP391" s="146"/>
      <c r="CQ391" s="146"/>
      <c r="CR391" s="146"/>
      <c r="CS391" s="146"/>
      <c r="CT391" s="146"/>
      <c r="CU391" s="146"/>
    </row>
    <row r="392" spans="1:99" ht="16.399999999999999" customHeight="1" x14ac:dyDescent="0.35">
      <c r="A392" s="145"/>
      <c r="B392" s="145"/>
      <c r="C392" s="146"/>
      <c r="D392" s="146"/>
      <c r="E392" s="146"/>
      <c r="F392" s="146"/>
      <c r="G392" s="147"/>
      <c r="H392" s="216"/>
      <c r="I392" s="217"/>
      <c r="J392" s="146"/>
      <c r="K392" s="216"/>
      <c r="L392" s="153"/>
      <c r="M392" s="146"/>
      <c r="N392" s="148"/>
      <c r="O392" s="148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  <c r="AA392" s="146"/>
      <c r="AB392" s="146"/>
      <c r="AC392" s="146"/>
      <c r="AD392" s="146"/>
      <c r="AE392" s="146"/>
      <c r="AF392" s="146"/>
      <c r="AG392" s="146"/>
      <c r="AH392" s="146"/>
      <c r="AI392" s="146"/>
      <c r="AJ392" s="146"/>
      <c r="AK392" s="146"/>
      <c r="AL392" s="146"/>
      <c r="AM392" s="206"/>
      <c r="AN392" s="146"/>
      <c r="AO392" s="149"/>
      <c r="AP392" s="150"/>
      <c r="AQ392" s="146"/>
      <c r="AR392" s="146"/>
      <c r="AS392" s="146"/>
      <c r="AT392" s="146"/>
      <c r="AU392" s="146"/>
      <c r="AV392" s="146"/>
      <c r="AW392" s="146"/>
      <c r="AX392" s="146"/>
      <c r="AY392" s="146"/>
      <c r="AZ392" s="146"/>
      <c r="BA392" s="147"/>
      <c r="BB392" s="146"/>
      <c r="BC392" s="147"/>
      <c r="BD392" s="147"/>
      <c r="BE392" s="147"/>
      <c r="BF392" s="147"/>
      <c r="BG392" s="147"/>
      <c r="BH392" s="151"/>
      <c r="BI392" s="147"/>
      <c r="BJ392" s="147"/>
      <c r="BK392" s="147"/>
      <c r="BL392" s="146"/>
      <c r="BM392" s="152"/>
      <c r="BN392" s="218"/>
      <c r="BO392" s="153"/>
      <c r="BP392" s="153"/>
      <c r="BQ392" s="219"/>
      <c r="BR392" s="146"/>
      <c r="BS392" s="146"/>
      <c r="BT392" s="146"/>
      <c r="BU392" s="146"/>
      <c r="BV392" s="219"/>
      <c r="BW392" s="146"/>
      <c r="BX392" s="146"/>
      <c r="BY392" s="146"/>
      <c r="BZ392" s="146"/>
      <c r="CA392" s="146"/>
      <c r="CB392" s="146"/>
      <c r="CC392" s="146"/>
      <c r="CD392" s="146"/>
      <c r="CE392" s="146"/>
      <c r="CF392" s="146"/>
      <c r="CG392" s="146"/>
      <c r="CH392" s="146"/>
      <c r="CI392" s="146"/>
      <c r="CJ392" s="146"/>
      <c r="CK392" s="146"/>
      <c r="CL392" s="146"/>
      <c r="CM392" s="146"/>
      <c r="CN392" s="146"/>
      <c r="CO392" s="146"/>
      <c r="CP392" s="146"/>
      <c r="CQ392" s="146"/>
      <c r="CR392" s="146"/>
      <c r="CS392" s="146"/>
      <c r="CT392" s="146"/>
      <c r="CU392" s="146"/>
    </row>
    <row r="393" spans="1:99" ht="16.399999999999999" customHeight="1" x14ac:dyDescent="0.35">
      <c r="A393" s="145"/>
      <c r="B393" s="145"/>
      <c r="C393" s="146"/>
      <c r="D393" s="146"/>
      <c r="E393" s="146"/>
      <c r="F393" s="146"/>
      <c r="G393" s="147"/>
      <c r="H393" s="216"/>
      <c r="I393" s="217"/>
      <c r="J393" s="146"/>
      <c r="K393" s="216"/>
      <c r="L393" s="153"/>
      <c r="M393" s="146"/>
      <c r="N393" s="148"/>
      <c r="O393" s="148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  <c r="AA393" s="146"/>
      <c r="AB393" s="146"/>
      <c r="AC393" s="146"/>
      <c r="AD393" s="146"/>
      <c r="AE393" s="146"/>
      <c r="AF393" s="146"/>
      <c r="AG393" s="146"/>
      <c r="AH393" s="146"/>
      <c r="AI393" s="146"/>
      <c r="AJ393" s="146"/>
      <c r="AK393" s="146"/>
      <c r="AL393" s="146"/>
      <c r="AM393" s="206"/>
      <c r="AN393" s="146"/>
      <c r="AO393" s="149"/>
      <c r="AP393" s="150"/>
      <c r="AQ393" s="146"/>
      <c r="AR393" s="146"/>
      <c r="AS393" s="146"/>
      <c r="AT393" s="146"/>
      <c r="AU393" s="146"/>
      <c r="AV393" s="146"/>
      <c r="AW393" s="146"/>
      <c r="AX393" s="146"/>
      <c r="AY393" s="146"/>
      <c r="AZ393" s="146"/>
      <c r="BA393" s="147"/>
      <c r="BB393" s="146"/>
      <c r="BC393" s="147"/>
      <c r="BD393" s="147"/>
      <c r="BE393" s="147"/>
      <c r="BF393" s="147"/>
      <c r="BG393" s="147"/>
      <c r="BH393" s="151"/>
      <c r="BI393" s="147"/>
      <c r="BJ393" s="147"/>
      <c r="BK393" s="147"/>
      <c r="BL393" s="146"/>
      <c r="BM393" s="152"/>
      <c r="BN393" s="218"/>
      <c r="BO393" s="153"/>
      <c r="BP393" s="153"/>
      <c r="BQ393" s="219"/>
      <c r="BR393" s="146"/>
      <c r="BS393" s="146"/>
      <c r="BT393" s="146"/>
      <c r="BU393" s="146"/>
      <c r="BV393" s="219"/>
      <c r="BW393" s="146"/>
      <c r="BX393" s="146"/>
      <c r="BY393" s="146"/>
      <c r="BZ393" s="146"/>
      <c r="CA393" s="146"/>
      <c r="CB393" s="146"/>
      <c r="CC393" s="146"/>
      <c r="CD393" s="146"/>
      <c r="CE393" s="146"/>
      <c r="CF393" s="146"/>
      <c r="CG393" s="146"/>
      <c r="CH393" s="146"/>
      <c r="CI393" s="146"/>
      <c r="CJ393" s="146"/>
      <c r="CK393" s="146"/>
      <c r="CL393" s="146"/>
      <c r="CM393" s="146"/>
      <c r="CN393" s="146"/>
      <c r="CO393" s="146"/>
      <c r="CP393" s="146"/>
      <c r="CQ393" s="146"/>
      <c r="CR393" s="146"/>
      <c r="CS393" s="146"/>
      <c r="CT393" s="146"/>
      <c r="CU393" s="146"/>
    </row>
    <row r="394" spans="1:99" ht="16.399999999999999" customHeight="1" x14ac:dyDescent="0.35">
      <c r="A394" s="145"/>
      <c r="B394" s="145"/>
      <c r="C394" s="146"/>
      <c r="D394" s="146"/>
      <c r="E394" s="146"/>
      <c r="F394" s="146"/>
      <c r="G394" s="147"/>
      <c r="H394" s="216"/>
      <c r="I394" s="217"/>
      <c r="J394" s="146"/>
      <c r="K394" s="216"/>
      <c r="L394" s="153"/>
      <c r="M394" s="146"/>
      <c r="N394" s="148"/>
      <c r="O394" s="148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  <c r="AA394" s="146"/>
      <c r="AB394" s="146"/>
      <c r="AC394" s="146"/>
      <c r="AD394" s="146"/>
      <c r="AE394" s="146"/>
      <c r="AF394" s="146"/>
      <c r="AG394" s="146"/>
      <c r="AH394" s="146"/>
      <c r="AI394" s="146"/>
      <c r="AJ394" s="146"/>
      <c r="AK394" s="146"/>
      <c r="AL394" s="146"/>
      <c r="AM394" s="206"/>
      <c r="AN394" s="146"/>
      <c r="AO394" s="149"/>
      <c r="AP394" s="150"/>
      <c r="AQ394" s="146"/>
      <c r="AR394" s="146"/>
      <c r="AS394" s="146"/>
      <c r="AT394" s="146"/>
      <c r="AU394" s="146"/>
      <c r="AV394" s="146"/>
      <c r="AW394" s="146"/>
      <c r="AX394" s="146"/>
      <c r="AY394" s="146"/>
      <c r="AZ394" s="146"/>
      <c r="BA394" s="147"/>
      <c r="BB394" s="146"/>
      <c r="BC394" s="147"/>
      <c r="BD394" s="147"/>
      <c r="BE394" s="147"/>
      <c r="BF394" s="147"/>
      <c r="BG394" s="147"/>
      <c r="BH394" s="151"/>
      <c r="BI394" s="147"/>
      <c r="BJ394" s="147"/>
      <c r="BK394" s="147"/>
      <c r="BL394" s="146"/>
      <c r="BM394" s="152"/>
      <c r="BN394" s="218"/>
      <c r="BO394" s="153"/>
      <c r="BP394" s="153"/>
      <c r="BQ394" s="219"/>
      <c r="BR394" s="146"/>
      <c r="BS394" s="146"/>
      <c r="BT394" s="146"/>
      <c r="BU394" s="146"/>
      <c r="BV394" s="219"/>
      <c r="BW394" s="146"/>
      <c r="BX394" s="146"/>
      <c r="BY394" s="146"/>
      <c r="BZ394" s="146"/>
      <c r="CA394" s="146"/>
      <c r="CB394" s="146"/>
      <c r="CC394" s="146"/>
      <c r="CD394" s="146"/>
      <c r="CE394" s="146"/>
      <c r="CF394" s="146"/>
      <c r="CG394" s="146"/>
      <c r="CH394" s="146"/>
      <c r="CI394" s="146"/>
      <c r="CJ394" s="146"/>
      <c r="CK394" s="146"/>
      <c r="CL394" s="146"/>
      <c r="CM394" s="146"/>
      <c r="CN394" s="146"/>
      <c r="CO394" s="146"/>
      <c r="CP394" s="146"/>
      <c r="CQ394" s="146"/>
      <c r="CR394" s="146"/>
      <c r="CS394" s="146"/>
      <c r="CT394" s="146"/>
      <c r="CU394" s="146"/>
    </row>
    <row r="395" spans="1:99" ht="16.399999999999999" customHeight="1" x14ac:dyDescent="0.35">
      <c r="A395" s="145"/>
      <c r="B395" s="145"/>
      <c r="C395" s="146"/>
      <c r="D395" s="146"/>
      <c r="E395" s="146"/>
      <c r="F395" s="146"/>
      <c r="G395" s="147"/>
      <c r="H395" s="216"/>
      <c r="I395" s="217"/>
      <c r="J395" s="146"/>
      <c r="K395" s="216"/>
      <c r="L395" s="153"/>
      <c r="M395" s="146"/>
      <c r="N395" s="148"/>
      <c r="O395" s="148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  <c r="AA395" s="146"/>
      <c r="AB395" s="146"/>
      <c r="AC395" s="146"/>
      <c r="AD395" s="146"/>
      <c r="AE395" s="146"/>
      <c r="AF395" s="146"/>
      <c r="AG395" s="146"/>
      <c r="AH395" s="146"/>
      <c r="AI395" s="146"/>
      <c r="AJ395" s="146"/>
      <c r="AK395" s="146"/>
      <c r="AL395" s="146"/>
      <c r="AM395" s="206"/>
      <c r="AN395" s="146"/>
      <c r="AO395" s="149"/>
      <c r="AP395" s="150"/>
      <c r="AQ395" s="146"/>
      <c r="AR395" s="146"/>
      <c r="AS395" s="146"/>
      <c r="AT395" s="146"/>
      <c r="AU395" s="146"/>
      <c r="AV395" s="146"/>
      <c r="AW395" s="146"/>
      <c r="AX395" s="146"/>
      <c r="AY395" s="146"/>
      <c r="AZ395" s="146"/>
      <c r="BA395" s="147"/>
      <c r="BB395" s="146"/>
      <c r="BC395" s="147"/>
      <c r="BD395" s="147"/>
      <c r="BE395" s="147"/>
      <c r="BF395" s="147"/>
      <c r="BG395" s="147"/>
      <c r="BH395" s="151"/>
      <c r="BI395" s="147"/>
      <c r="BJ395" s="147"/>
      <c r="BK395" s="147"/>
      <c r="BL395" s="146"/>
      <c r="BM395" s="152"/>
      <c r="BN395" s="218"/>
      <c r="BO395" s="153"/>
      <c r="BP395" s="153"/>
      <c r="BQ395" s="219"/>
      <c r="BR395" s="146"/>
      <c r="BS395" s="146"/>
      <c r="BT395" s="146"/>
      <c r="BU395" s="146"/>
      <c r="BV395" s="219"/>
      <c r="BW395" s="146"/>
      <c r="BX395" s="146"/>
      <c r="BY395" s="146"/>
      <c r="BZ395" s="146"/>
      <c r="CA395" s="146"/>
      <c r="CB395" s="146"/>
      <c r="CC395" s="146"/>
      <c r="CD395" s="146"/>
      <c r="CE395" s="146"/>
      <c r="CF395" s="146"/>
      <c r="CG395" s="146"/>
      <c r="CH395" s="146"/>
      <c r="CI395" s="146"/>
      <c r="CJ395" s="146"/>
      <c r="CK395" s="146"/>
      <c r="CL395" s="146"/>
      <c r="CM395" s="146"/>
      <c r="CN395" s="146"/>
      <c r="CO395" s="146"/>
      <c r="CP395" s="146"/>
      <c r="CQ395" s="146"/>
      <c r="CR395" s="146"/>
      <c r="CS395" s="146"/>
      <c r="CT395" s="146"/>
      <c r="CU395" s="146"/>
    </row>
    <row r="396" spans="1:99" ht="16.399999999999999" customHeight="1" x14ac:dyDescent="0.35">
      <c r="A396" s="145"/>
      <c r="B396" s="145"/>
      <c r="C396" s="146"/>
      <c r="D396" s="146"/>
      <c r="E396" s="146"/>
      <c r="F396" s="146"/>
      <c r="G396" s="147"/>
      <c r="H396" s="216"/>
      <c r="I396" s="217"/>
      <c r="J396" s="146"/>
      <c r="K396" s="216"/>
      <c r="L396" s="153"/>
      <c r="M396" s="146"/>
      <c r="N396" s="148"/>
      <c r="O396" s="148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  <c r="AA396" s="146"/>
      <c r="AB396" s="146"/>
      <c r="AC396" s="146"/>
      <c r="AD396" s="146"/>
      <c r="AE396" s="146"/>
      <c r="AF396" s="146"/>
      <c r="AG396" s="146"/>
      <c r="AH396" s="146"/>
      <c r="AI396" s="146"/>
      <c r="AJ396" s="146"/>
      <c r="AK396" s="146"/>
      <c r="AL396" s="146"/>
      <c r="AM396" s="206"/>
      <c r="AN396" s="146"/>
      <c r="AO396" s="149"/>
      <c r="AP396" s="150"/>
      <c r="AQ396" s="146"/>
      <c r="AR396" s="146"/>
      <c r="AS396" s="146"/>
      <c r="AT396" s="146"/>
      <c r="AU396" s="146"/>
      <c r="AV396" s="146"/>
      <c r="AW396" s="146"/>
      <c r="AX396" s="146"/>
      <c r="AY396" s="146"/>
      <c r="AZ396" s="146"/>
      <c r="BA396" s="147"/>
      <c r="BB396" s="146"/>
      <c r="BC396" s="147"/>
      <c r="BD396" s="147"/>
      <c r="BE396" s="147"/>
      <c r="BF396" s="147"/>
      <c r="BG396" s="147"/>
      <c r="BH396" s="151"/>
      <c r="BI396" s="147"/>
      <c r="BJ396" s="147"/>
      <c r="BK396" s="147"/>
      <c r="BL396" s="146"/>
      <c r="BM396" s="152"/>
      <c r="BN396" s="218"/>
      <c r="BO396" s="153"/>
      <c r="BP396" s="153"/>
      <c r="BQ396" s="219"/>
      <c r="BR396" s="146"/>
      <c r="BS396" s="146"/>
      <c r="BT396" s="146"/>
      <c r="BU396" s="146"/>
      <c r="BV396" s="219"/>
      <c r="BW396" s="146"/>
      <c r="BX396" s="146"/>
      <c r="BY396" s="146"/>
      <c r="BZ396" s="146"/>
      <c r="CA396" s="146"/>
      <c r="CB396" s="146"/>
      <c r="CC396" s="146"/>
      <c r="CD396" s="146"/>
      <c r="CE396" s="146"/>
      <c r="CF396" s="146"/>
      <c r="CG396" s="146"/>
      <c r="CH396" s="146"/>
      <c r="CI396" s="146"/>
      <c r="CJ396" s="146"/>
      <c r="CK396" s="146"/>
      <c r="CL396" s="146"/>
      <c r="CM396" s="146"/>
      <c r="CN396" s="146"/>
      <c r="CO396" s="146"/>
      <c r="CP396" s="146"/>
      <c r="CQ396" s="146"/>
      <c r="CR396" s="146"/>
      <c r="CS396" s="146"/>
      <c r="CT396" s="146"/>
      <c r="CU396" s="146"/>
    </row>
    <row r="397" spans="1:99" ht="16.399999999999999" customHeight="1" x14ac:dyDescent="0.35">
      <c r="A397" s="145"/>
      <c r="B397" s="145"/>
      <c r="C397" s="146"/>
      <c r="D397" s="146"/>
      <c r="E397" s="146"/>
      <c r="F397" s="146"/>
      <c r="G397" s="147"/>
      <c r="H397" s="216"/>
      <c r="I397" s="217"/>
      <c r="J397" s="146"/>
      <c r="K397" s="216"/>
      <c r="L397" s="153"/>
      <c r="M397" s="146"/>
      <c r="N397" s="148"/>
      <c r="O397" s="148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  <c r="AB397" s="146"/>
      <c r="AC397" s="146"/>
      <c r="AD397" s="146"/>
      <c r="AE397" s="146"/>
      <c r="AF397" s="146"/>
      <c r="AG397" s="146"/>
      <c r="AH397" s="146"/>
      <c r="AI397" s="146"/>
      <c r="AJ397" s="146"/>
      <c r="AK397" s="146"/>
      <c r="AL397" s="146"/>
      <c r="AM397" s="206"/>
      <c r="AN397" s="146"/>
      <c r="AO397" s="149"/>
      <c r="AP397" s="150"/>
      <c r="AQ397" s="146"/>
      <c r="AR397" s="146"/>
      <c r="AS397" s="146"/>
      <c r="AT397" s="146"/>
      <c r="AU397" s="146"/>
      <c r="AV397" s="146"/>
      <c r="AW397" s="146"/>
      <c r="AX397" s="146"/>
      <c r="AY397" s="146"/>
      <c r="AZ397" s="146"/>
      <c r="BA397" s="147"/>
      <c r="BB397" s="146"/>
      <c r="BC397" s="147"/>
      <c r="BD397" s="147"/>
      <c r="BE397" s="147"/>
      <c r="BF397" s="147"/>
      <c r="BG397" s="147"/>
      <c r="BH397" s="151"/>
      <c r="BI397" s="147"/>
      <c r="BJ397" s="147"/>
      <c r="BK397" s="147"/>
      <c r="BL397" s="146"/>
      <c r="BM397" s="152"/>
      <c r="BN397" s="218"/>
      <c r="BO397" s="153"/>
      <c r="BP397" s="153"/>
      <c r="BQ397" s="219"/>
      <c r="BR397" s="146"/>
      <c r="BS397" s="146"/>
      <c r="BT397" s="146"/>
      <c r="BU397" s="146"/>
      <c r="BV397" s="219"/>
      <c r="BW397" s="146"/>
      <c r="BX397" s="146"/>
      <c r="BY397" s="146"/>
      <c r="BZ397" s="146"/>
      <c r="CA397" s="146"/>
      <c r="CB397" s="146"/>
      <c r="CC397" s="146"/>
      <c r="CD397" s="146"/>
      <c r="CE397" s="146"/>
      <c r="CF397" s="146"/>
      <c r="CG397" s="146"/>
      <c r="CH397" s="146"/>
      <c r="CI397" s="146"/>
      <c r="CJ397" s="146"/>
      <c r="CK397" s="146"/>
      <c r="CL397" s="146"/>
      <c r="CM397" s="146"/>
      <c r="CN397" s="146"/>
      <c r="CO397" s="146"/>
      <c r="CP397" s="146"/>
      <c r="CQ397" s="146"/>
      <c r="CR397" s="146"/>
      <c r="CS397" s="146"/>
      <c r="CT397" s="146"/>
      <c r="CU397" s="146"/>
    </row>
    <row r="398" spans="1:99" ht="16.399999999999999" customHeight="1" x14ac:dyDescent="0.35">
      <c r="A398" s="145"/>
      <c r="B398" s="145"/>
      <c r="C398" s="146"/>
      <c r="D398" s="146"/>
      <c r="E398" s="146"/>
      <c r="F398" s="146"/>
      <c r="G398" s="147"/>
      <c r="H398" s="216"/>
      <c r="I398" s="217"/>
      <c r="J398" s="146"/>
      <c r="K398" s="216"/>
      <c r="L398" s="153"/>
      <c r="M398" s="146"/>
      <c r="N398" s="148"/>
      <c r="O398" s="148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  <c r="AD398" s="146"/>
      <c r="AE398" s="146"/>
      <c r="AF398" s="146"/>
      <c r="AG398" s="146"/>
      <c r="AH398" s="146"/>
      <c r="AI398" s="146"/>
      <c r="AJ398" s="146"/>
      <c r="AK398" s="146"/>
      <c r="AL398" s="146"/>
      <c r="AM398" s="206"/>
      <c r="AN398" s="146"/>
      <c r="AO398" s="149"/>
      <c r="AP398" s="150"/>
      <c r="AQ398" s="146"/>
      <c r="AR398" s="146"/>
      <c r="AS398" s="146"/>
      <c r="AT398" s="146"/>
      <c r="AU398" s="146"/>
      <c r="AV398" s="146"/>
      <c r="AW398" s="146"/>
      <c r="AX398" s="146"/>
      <c r="AY398" s="146"/>
      <c r="AZ398" s="146"/>
      <c r="BA398" s="147"/>
      <c r="BB398" s="146"/>
      <c r="BC398" s="147"/>
      <c r="BD398" s="147"/>
      <c r="BE398" s="147"/>
      <c r="BF398" s="147"/>
      <c r="BG398" s="147"/>
      <c r="BH398" s="151"/>
      <c r="BI398" s="147"/>
      <c r="BJ398" s="147"/>
      <c r="BK398" s="147"/>
      <c r="BL398" s="146"/>
      <c r="BM398" s="152"/>
      <c r="BN398" s="218"/>
      <c r="BO398" s="153"/>
      <c r="BP398" s="153"/>
      <c r="BQ398" s="219"/>
      <c r="BR398" s="146"/>
      <c r="BS398" s="146"/>
      <c r="BT398" s="146"/>
      <c r="BU398" s="146"/>
      <c r="BV398" s="219"/>
      <c r="BW398" s="146"/>
      <c r="BX398" s="146"/>
      <c r="BY398" s="146"/>
      <c r="BZ398" s="146"/>
      <c r="CA398" s="146"/>
      <c r="CB398" s="146"/>
      <c r="CC398" s="146"/>
      <c r="CD398" s="146"/>
      <c r="CE398" s="146"/>
      <c r="CF398" s="146"/>
      <c r="CG398" s="146"/>
      <c r="CH398" s="146"/>
      <c r="CI398" s="146"/>
      <c r="CJ398" s="146"/>
      <c r="CK398" s="146"/>
      <c r="CL398" s="146"/>
      <c r="CM398" s="146"/>
      <c r="CN398" s="146"/>
      <c r="CO398" s="146"/>
      <c r="CP398" s="146"/>
      <c r="CQ398" s="146"/>
      <c r="CR398" s="146"/>
      <c r="CS398" s="146"/>
      <c r="CT398" s="146"/>
      <c r="CU398" s="146"/>
    </row>
    <row r="399" spans="1:99" ht="16.399999999999999" customHeight="1" x14ac:dyDescent="0.35">
      <c r="A399" s="145"/>
      <c r="B399" s="145"/>
      <c r="C399" s="146"/>
      <c r="D399" s="146"/>
      <c r="E399" s="146"/>
      <c r="F399" s="146"/>
      <c r="G399" s="147"/>
      <c r="H399" s="216"/>
      <c r="I399" s="217"/>
      <c r="J399" s="146"/>
      <c r="K399" s="216"/>
      <c r="L399" s="153"/>
      <c r="M399" s="146"/>
      <c r="N399" s="148"/>
      <c r="O399" s="148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  <c r="AA399" s="146"/>
      <c r="AB399" s="146"/>
      <c r="AC399" s="146"/>
      <c r="AD399" s="146"/>
      <c r="AE399" s="146"/>
      <c r="AF399" s="146"/>
      <c r="AG399" s="146"/>
      <c r="AH399" s="146"/>
      <c r="AI399" s="146"/>
      <c r="AJ399" s="146"/>
      <c r="AK399" s="146"/>
      <c r="AL399" s="146"/>
      <c r="AM399" s="206"/>
      <c r="AN399" s="146"/>
      <c r="AO399" s="149"/>
      <c r="AP399" s="150"/>
      <c r="AQ399" s="146"/>
      <c r="AR399" s="146"/>
      <c r="AS399" s="146"/>
      <c r="AT399" s="146"/>
      <c r="AU399" s="146"/>
      <c r="AV399" s="146"/>
      <c r="AW399" s="146"/>
      <c r="AX399" s="146"/>
      <c r="AY399" s="146"/>
      <c r="AZ399" s="146"/>
      <c r="BA399" s="147"/>
      <c r="BB399" s="146"/>
      <c r="BC399" s="147"/>
      <c r="BD399" s="147"/>
      <c r="BE399" s="147"/>
      <c r="BF399" s="147"/>
      <c r="BG399" s="147"/>
      <c r="BH399" s="151"/>
      <c r="BI399" s="147"/>
      <c r="BJ399" s="147"/>
      <c r="BK399" s="147"/>
      <c r="BL399" s="146"/>
      <c r="BM399" s="152"/>
      <c r="BN399" s="218"/>
      <c r="BO399" s="153"/>
      <c r="BP399" s="153"/>
      <c r="BQ399" s="219"/>
      <c r="BR399" s="146"/>
      <c r="BS399" s="146"/>
      <c r="BT399" s="146"/>
      <c r="BU399" s="146"/>
      <c r="BV399" s="219"/>
      <c r="BW399" s="146"/>
      <c r="BX399" s="146"/>
      <c r="BY399" s="146"/>
      <c r="BZ399" s="146"/>
      <c r="CA399" s="146"/>
      <c r="CB399" s="146"/>
      <c r="CC399" s="146"/>
      <c r="CD399" s="146"/>
      <c r="CE399" s="146"/>
      <c r="CF399" s="146"/>
      <c r="CG399" s="146"/>
      <c r="CH399" s="146"/>
      <c r="CI399" s="146"/>
      <c r="CJ399" s="146"/>
      <c r="CK399" s="146"/>
      <c r="CL399" s="146"/>
      <c r="CM399" s="146"/>
      <c r="CN399" s="146"/>
      <c r="CO399" s="146"/>
      <c r="CP399" s="146"/>
      <c r="CQ399" s="146"/>
      <c r="CR399" s="146"/>
      <c r="CS399" s="146"/>
      <c r="CT399" s="146"/>
      <c r="CU399" s="146"/>
    </row>
    <row r="400" spans="1:99" ht="16.399999999999999" customHeight="1" x14ac:dyDescent="0.35">
      <c r="A400" s="145"/>
      <c r="B400" s="145"/>
      <c r="C400" s="146"/>
      <c r="D400" s="146"/>
      <c r="E400" s="146"/>
      <c r="F400" s="146"/>
      <c r="G400" s="147"/>
      <c r="H400" s="216"/>
      <c r="I400" s="217"/>
      <c r="J400" s="146"/>
      <c r="K400" s="216"/>
      <c r="L400" s="153"/>
      <c r="M400" s="146"/>
      <c r="N400" s="148"/>
      <c r="O400" s="148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  <c r="AA400" s="146"/>
      <c r="AB400" s="146"/>
      <c r="AC400" s="146"/>
      <c r="AD400" s="146"/>
      <c r="AE400" s="146"/>
      <c r="AF400" s="146"/>
      <c r="AG400" s="146"/>
      <c r="AH400" s="146"/>
      <c r="AI400" s="146"/>
      <c r="AJ400" s="146"/>
      <c r="AK400" s="146"/>
      <c r="AL400" s="146"/>
      <c r="AM400" s="206"/>
      <c r="AN400" s="146"/>
      <c r="AO400" s="149"/>
      <c r="AP400" s="150"/>
      <c r="AQ400" s="146"/>
      <c r="AR400" s="146"/>
      <c r="AS400" s="146"/>
      <c r="AT400" s="146"/>
      <c r="AU400" s="146"/>
      <c r="AV400" s="146"/>
      <c r="AW400" s="146"/>
      <c r="AX400" s="146"/>
      <c r="AY400" s="146"/>
      <c r="AZ400" s="146"/>
      <c r="BA400" s="147"/>
      <c r="BB400" s="146"/>
      <c r="BC400" s="147"/>
      <c r="BD400" s="147"/>
      <c r="BE400" s="147"/>
      <c r="BF400" s="147"/>
      <c r="BG400" s="147"/>
      <c r="BH400" s="151"/>
      <c r="BI400" s="147"/>
      <c r="BJ400" s="147"/>
      <c r="BK400" s="147"/>
      <c r="BL400" s="146"/>
      <c r="BM400" s="152"/>
      <c r="BN400" s="218"/>
      <c r="BO400" s="153"/>
      <c r="BP400" s="153"/>
      <c r="BQ400" s="219"/>
      <c r="BR400" s="146"/>
      <c r="BS400" s="146"/>
      <c r="BT400" s="146"/>
      <c r="BU400" s="146"/>
      <c r="BV400" s="219"/>
      <c r="BW400" s="146"/>
      <c r="BX400" s="146"/>
      <c r="BY400" s="146"/>
      <c r="BZ400" s="146"/>
      <c r="CA400" s="146"/>
      <c r="CB400" s="146"/>
      <c r="CC400" s="146"/>
      <c r="CD400" s="146"/>
      <c r="CE400" s="146"/>
      <c r="CF400" s="146"/>
      <c r="CG400" s="146"/>
      <c r="CH400" s="146"/>
      <c r="CI400" s="146"/>
      <c r="CJ400" s="146"/>
      <c r="CK400" s="146"/>
      <c r="CL400" s="146"/>
      <c r="CM400" s="146"/>
      <c r="CN400" s="146"/>
      <c r="CO400" s="146"/>
      <c r="CP400" s="146"/>
      <c r="CQ400" s="146"/>
      <c r="CR400" s="146"/>
      <c r="CS400" s="146"/>
      <c r="CT400" s="146"/>
      <c r="CU400" s="146"/>
    </row>
  </sheetData>
  <autoFilter ref="C1:CG1" xr:uid="{00000000-0009-0000-0000-000009000000}"/>
  <pageMargins left="0.7" right="0.7" top="0.75" bottom="0.75" header="0.3" footer="0.3"/>
  <pageSetup paperSize="9" orientation="portrait" r:id="rId1"/>
  <headerFooter>
    <oddHeader>&amp;R&amp;"Arial"&amp;10&amp;KFF8C00Confidential&amp;1#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W30"/>
  <sheetViews>
    <sheetView workbookViewId="0"/>
  </sheetViews>
  <sheetFormatPr defaultColWidth="8.54296875" defaultRowHeight="14.5" x14ac:dyDescent="0.35"/>
  <cols>
    <col min="1" max="1" width="10.54296875" style="136" bestFit="1" customWidth="1"/>
    <col min="2" max="2" width="17.453125" style="136" bestFit="1" customWidth="1"/>
    <col min="3" max="3" width="12.54296875" style="136" bestFit="1" customWidth="1"/>
    <col min="4" max="10" width="10.453125" style="136" bestFit="1" customWidth="1"/>
    <col min="11" max="11" width="11.453125" style="136" bestFit="1" customWidth="1"/>
    <col min="12" max="16384" width="8.54296875" style="136"/>
  </cols>
  <sheetData>
    <row r="1" spans="1:23" x14ac:dyDescent="0.35">
      <c r="A1" s="135" t="s">
        <v>75</v>
      </c>
      <c r="B1" s="135" t="s">
        <v>127</v>
      </c>
      <c r="C1" s="135" t="s">
        <v>128</v>
      </c>
      <c r="D1" s="135" t="s">
        <v>129</v>
      </c>
      <c r="E1" s="135" t="s">
        <v>130</v>
      </c>
      <c r="F1" s="135" t="s">
        <v>131</v>
      </c>
      <c r="G1" s="135" t="s">
        <v>132</v>
      </c>
      <c r="H1" s="135" t="s">
        <v>133</v>
      </c>
      <c r="I1" s="135" t="s">
        <v>134</v>
      </c>
      <c r="J1" s="135" t="s">
        <v>135</v>
      </c>
      <c r="K1" s="135" t="s">
        <v>136</v>
      </c>
      <c r="M1" s="135" t="s">
        <v>137</v>
      </c>
      <c r="N1" s="135" t="s">
        <v>127</v>
      </c>
      <c r="O1" s="135" t="s">
        <v>128</v>
      </c>
      <c r="P1" s="135" t="s">
        <v>129</v>
      </c>
      <c r="Q1" s="135" t="s">
        <v>130</v>
      </c>
      <c r="R1" s="135" t="s">
        <v>131</v>
      </c>
      <c r="S1" s="135" t="s">
        <v>132</v>
      </c>
      <c r="T1" s="135" t="s">
        <v>133</v>
      </c>
      <c r="U1" s="135" t="s">
        <v>134</v>
      </c>
      <c r="V1" s="135" t="s">
        <v>135</v>
      </c>
      <c r="W1" s="135" t="s">
        <v>136</v>
      </c>
    </row>
    <row r="2" spans="1:23" x14ac:dyDescent="0.35">
      <c r="A2" s="135">
        <v>1</v>
      </c>
      <c r="B2" s="136">
        <v>2</v>
      </c>
      <c r="M2" s="135">
        <v>1</v>
      </c>
      <c r="N2" s="136" t="str">
        <f>_xlfn.CONCAT(B2,"% to ")</f>
        <v xml:space="preserve">2% to </v>
      </c>
    </row>
    <row r="3" spans="1:23" x14ac:dyDescent="0.35">
      <c r="A3" s="135">
        <v>2</v>
      </c>
      <c r="B3" s="136">
        <v>2.5</v>
      </c>
      <c r="C3" s="136">
        <v>1.5</v>
      </c>
      <c r="M3" s="135">
        <v>2</v>
      </c>
      <c r="N3" s="136" t="str">
        <f t="shared" ref="N3:R7" si="0">_xlfn.CONCAT(B3,"% to ")</f>
        <v xml:space="preserve">2.5% to </v>
      </c>
      <c r="O3" s="136" t="str">
        <f t="shared" si="0"/>
        <v xml:space="preserve">1.5% to </v>
      </c>
    </row>
    <row r="4" spans="1:23" x14ac:dyDescent="0.35">
      <c r="A4" s="135">
        <v>3</v>
      </c>
      <c r="B4" s="136">
        <v>3.5</v>
      </c>
      <c r="C4" s="136">
        <v>2.5</v>
      </c>
      <c r="D4" s="136">
        <v>1.5</v>
      </c>
      <c r="M4" s="135">
        <v>3</v>
      </c>
      <c r="N4" s="136" t="str">
        <f t="shared" si="0"/>
        <v xml:space="preserve">3.5% to </v>
      </c>
      <c r="O4" s="136" t="str">
        <f t="shared" si="0"/>
        <v xml:space="preserve">2.5% to </v>
      </c>
      <c r="P4" s="136" t="str">
        <f t="shared" si="0"/>
        <v xml:space="preserve">1.5% to </v>
      </c>
    </row>
    <row r="5" spans="1:23" x14ac:dyDescent="0.35">
      <c r="A5" s="135">
        <v>5</v>
      </c>
      <c r="B5" s="136">
        <v>5</v>
      </c>
      <c r="C5" s="136">
        <v>5</v>
      </c>
      <c r="D5" s="136">
        <v>4</v>
      </c>
      <c r="E5" s="136">
        <v>3</v>
      </c>
      <c r="F5" s="136">
        <v>2</v>
      </c>
      <c r="M5" s="135">
        <v>5</v>
      </c>
      <c r="N5" s="136" t="str">
        <f t="shared" si="0"/>
        <v xml:space="preserve">5% to </v>
      </c>
      <c r="O5" s="136" t="str">
        <f t="shared" si="0"/>
        <v xml:space="preserve">5% to </v>
      </c>
      <c r="P5" s="136" t="str">
        <f t="shared" si="0"/>
        <v xml:space="preserve">4% to </v>
      </c>
      <c r="Q5" s="136" t="str">
        <f t="shared" si="0"/>
        <v xml:space="preserve">3% to </v>
      </c>
      <c r="R5" s="136" t="str">
        <f t="shared" si="0"/>
        <v xml:space="preserve">2% to </v>
      </c>
    </row>
    <row r="6" spans="1:23" x14ac:dyDescent="0.35">
      <c r="A6" s="135">
        <v>10</v>
      </c>
      <c r="B6" s="136">
        <v>6</v>
      </c>
      <c r="C6" s="136">
        <v>6</v>
      </c>
      <c r="D6" s="136">
        <v>5</v>
      </c>
      <c r="E6" s="136">
        <v>5</v>
      </c>
      <c r="F6" s="136">
        <v>5</v>
      </c>
      <c r="G6" s="136">
        <v>5</v>
      </c>
      <c r="H6" s="136">
        <v>4</v>
      </c>
      <c r="I6" s="136">
        <v>4</v>
      </c>
      <c r="J6" s="136">
        <v>3</v>
      </c>
      <c r="K6" s="136">
        <v>2</v>
      </c>
      <c r="M6" s="135">
        <v>10</v>
      </c>
      <c r="N6" s="136" t="str">
        <f t="shared" si="0"/>
        <v xml:space="preserve">6% to </v>
      </c>
      <c r="P6" s="136" t="str">
        <f t="shared" si="0"/>
        <v xml:space="preserve">5% to </v>
      </c>
      <c r="T6" s="136" t="str">
        <f t="shared" ref="T6:T7" si="1">_xlfn.CONCAT(H6,"% to ")</f>
        <v xml:space="preserve">4% to </v>
      </c>
      <c r="V6" s="136" t="str">
        <f t="shared" ref="V6:W7" si="2">_xlfn.CONCAT(J6,"% to ")</f>
        <v xml:space="preserve">3% to </v>
      </c>
      <c r="W6" s="136" t="str">
        <f t="shared" si="2"/>
        <v xml:space="preserve">2% to </v>
      </c>
    </row>
    <row r="7" spans="1:23" x14ac:dyDescent="0.35">
      <c r="A7" s="135">
        <v>15</v>
      </c>
      <c r="B7" s="136">
        <v>6</v>
      </c>
      <c r="C7" s="136">
        <v>6</v>
      </c>
      <c r="D7" s="136">
        <v>5</v>
      </c>
      <c r="E7" s="136">
        <v>5</v>
      </c>
      <c r="F7" s="136">
        <v>5</v>
      </c>
      <c r="G7" s="136">
        <v>5</v>
      </c>
      <c r="H7" s="136">
        <v>4</v>
      </c>
      <c r="I7" s="136">
        <v>4</v>
      </c>
      <c r="J7" s="136">
        <v>3</v>
      </c>
      <c r="K7" s="136">
        <v>2</v>
      </c>
      <c r="M7" s="135">
        <v>15</v>
      </c>
      <c r="N7" s="136" t="str">
        <f t="shared" si="0"/>
        <v xml:space="preserve">6% to </v>
      </c>
      <c r="P7" s="136" t="str">
        <f t="shared" si="0"/>
        <v xml:space="preserve">5% to </v>
      </c>
      <c r="T7" s="136" t="str">
        <f t="shared" si="1"/>
        <v xml:space="preserve">4% to </v>
      </c>
      <c r="V7" s="136" t="str">
        <f t="shared" si="2"/>
        <v xml:space="preserve">3% to </v>
      </c>
      <c r="W7" s="136" t="str">
        <f t="shared" si="2"/>
        <v xml:space="preserve">2% to </v>
      </c>
    </row>
    <row r="9" spans="1:23" x14ac:dyDescent="0.35">
      <c r="A9"/>
      <c r="B9" s="135" t="s">
        <v>96</v>
      </c>
      <c r="C9" s="137" t="s">
        <v>138</v>
      </c>
    </row>
    <row r="10" spans="1:23" x14ac:dyDescent="0.35">
      <c r="A10" s="135" t="s">
        <v>30</v>
      </c>
      <c r="B10" s="136">
        <v>8.24</v>
      </c>
      <c r="C10" s="136">
        <v>7.49</v>
      </c>
      <c r="D10" s="189"/>
      <c r="E10" s="188"/>
      <c r="F10" s="189"/>
      <c r="G10" s="189"/>
    </row>
    <row r="11" spans="1:23" x14ac:dyDescent="0.35">
      <c r="A11" s="135" t="s">
        <v>139</v>
      </c>
      <c r="B11" s="136">
        <v>8.5399999999999991</v>
      </c>
      <c r="C11" s="136">
        <v>7.54</v>
      </c>
      <c r="F11" s="189"/>
      <c r="G11" s="189"/>
    </row>
    <row r="12" spans="1:23" x14ac:dyDescent="0.35">
      <c r="C12" s="188"/>
    </row>
    <row r="13" spans="1:23" x14ac:dyDescent="0.35">
      <c r="A13" s="135" t="s">
        <v>197</v>
      </c>
      <c r="B13" s="188">
        <v>5.25</v>
      </c>
    </row>
    <row r="15" spans="1:23" x14ac:dyDescent="0.35">
      <c r="A15" s="135" t="s">
        <v>18</v>
      </c>
      <c r="B15" s="135" t="s">
        <v>30</v>
      </c>
      <c r="C15" s="135" t="s">
        <v>34</v>
      </c>
    </row>
    <row r="16" spans="1:23" x14ac:dyDescent="0.35">
      <c r="A16" s="138">
        <v>0.6</v>
      </c>
      <c r="B16" s="136">
        <v>2000000</v>
      </c>
      <c r="C16" s="136">
        <v>1000000</v>
      </c>
    </row>
    <row r="17" spans="1:3" x14ac:dyDescent="0.35">
      <c r="A17" s="138">
        <v>0.65</v>
      </c>
      <c r="B17" s="136">
        <v>2000000</v>
      </c>
      <c r="C17" s="136">
        <v>1000000</v>
      </c>
    </row>
    <row r="18" spans="1:3" x14ac:dyDescent="0.35">
      <c r="A18" s="138">
        <v>0.7</v>
      </c>
      <c r="B18" s="136">
        <v>2000000</v>
      </c>
      <c r="C18" s="136">
        <v>1000000</v>
      </c>
    </row>
    <row r="19" spans="1:3" x14ac:dyDescent="0.35">
      <c r="A19" s="138">
        <v>0.75</v>
      </c>
      <c r="B19" s="136">
        <v>2000000</v>
      </c>
      <c r="C19" s="136">
        <v>1000000</v>
      </c>
    </row>
    <row r="20" spans="1:3" x14ac:dyDescent="0.35">
      <c r="A20" s="138">
        <v>0.8</v>
      </c>
      <c r="B20" s="136">
        <v>2000000</v>
      </c>
      <c r="C20" s="136">
        <v>1000000</v>
      </c>
    </row>
    <row r="21" spans="1:3" x14ac:dyDescent="0.35">
      <c r="A21" s="138">
        <v>0.85</v>
      </c>
      <c r="B21" s="136">
        <v>2000000</v>
      </c>
    </row>
    <row r="22" spans="1:3" x14ac:dyDescent="0.35">
      <c r="A22" s="138">
        <v>0.9</v>
      </c>
      <c r="B22" s="136">
        <v>2000000</v>
      </c>
    </row>
    <row r="23" spans="1:3" x14ac:dyDescent="0.35">
      <c r="A23" s="138">
        <v>0.95</v>
      </c>
      <c r="B23" s="136">
        <v>2000000</v>
      </c>
    </row>
    <row r="26" spans="1:3" x14ac:dyDescent="0.35">
      <c r="A26" s="138" t="s">
        <v>23</v>
      </c>
      <c r="B26" s="138" t="s">
        <v>80</v>
      </c>
    </row>
    <row r="27" spans="1:3" x14ac:dyDescent="0.35">
      <c r="A27" s="135">
        <v>0</v>
      </c>
      <c r="B27" s="136">
        <v>0</v>
      </c>
    </row>
    <row r="28" spans="1:3" x14ac:dyDescent="0.35">
      <c r="A28" s="135">
        <v>250</v>
      </c>
      <c r="B28" s="136">
        <v>35000</v>
      </c>
    </row>
    <row r="29" spans="1:3" x14ac:dyDescent="0.35">
      <c r="A29" s="135">
        <v>500</v>
      </c>
      <c r="B29" s="136">
        <v>50000</v>
      </c>
    </row>
    <row r="30" spans="1:3" x14ac:dyDescent="0.35">
      <c r="A30" s="135">
        <v>1000</v>
      </c>
      <c r="B30" s="136">
        <v>80000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8EDE-D64E-4DAB-99EE-A67BD5C5C79C}">
  <sheetPr codeName="Designer1">
    <pageSetUpPr fitToPage="1"/>
  </sheetPr>
  <dimension ref="A1:P121"/>
  <sheetViews>
    <sheetView topLeftCell="A6" zoomScale="85" zoomScaleNormal="85" workbookViewId="0">
      <selection activeCell="H5" sqref="H5:J5"/>
    </sheetView>
  </sheetViews>
  <sheetFormatPr defaultColWidth="0" defaultRowHeight="18.75" customHeight="1" x14ac:dyDescent="0.35"/>
  <cols>
    <col min="1" max="1" width="8.54296875" style="10" customWidth="1"/>
    <col min="2" max="2" width="59.453125" style="10" customWidth="1"/>
    <col min="3" max="3" width="22.54296875" style="10" customWidth="1"/>
    <col min="4" max="4" width="11.453125" style="10" customWidth="1"/>
    <col min="5" max="6" width="8.54296875" style="10" customWidth="1"/>
    <col min="7" max="7" width="15.54296875" style="10" customWidth="1"/>
    <col min="8" max="8" width="22.54296875" style="10" customWidth="1"/>
    <col min="9" max="9" width="15.54296875" style="10" customWidth="1"/>
    <col min="10" max="10" width="8.54296875" style="10" customWidth="1"/>
    <col min="11" max="11" width="15.54296875" style="10" customWidth="1"/>
    <col min="12" max="15" width="14.453125" style="10" hidden="1" customWidth="1"/>
    <col min="16" max="16" width="14.453125" style="33" hidden="1" customWidth="1"/>
    <col min="17" max="16384" width="7.453125" style="10" hidden="1"/>
  </cols>
  <sheetData>
    <row r="1" spans="1:16" ht="18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6"/>
      <c r="M1" s="7"/>
      <c r="N1" s="7"/>
      <c r="O1" s="7"/>
      <c r="P1" s="18"/>
    </row>
    <row r="2" spans="1:16" ht="18.75" customHeight="1" x14ac:dyDescent="0.35">
      <c r="A2" s="21"/>
      <c r="B2" s="21"/>
      <c r="C2" s="21"/>
      <c r="D2" s="21"/>
      <c r="E2" s="21"/>
      <c r="F2" s="21"/>
      <c r="G2" s="254" t="s">
        <v>81</v>
      </c>
      <c r="H2" s="254"/>
      <c r="I2" s="254"/>
      <c r="J2" s="254"/>
      <c r="K2" s="21"/>
      <c r="L2" s="6"/>
      <c r="M2" s="3" t="s">
        <v>30</v>
      </c>
      <c r="N2" s="3" t="s">
        <v>30</v>
      </c>
      <c r="O2" s="7"/>
      <c r="P2" s="18"/>
    </row>
    <row r="3" spans="1:16" ht="18.75" customHeight="1" x14ac:dyDescent="0.35">
      <c r="A3" s="21"/>
      <c r="B3" s="21"/>
      <c r="C3" s="21"/>
      <c r="D3" s="21"/>
      <c r="E3" s="21"/>
      <c r="F3" s="21"/>
      <c r="G3" s="254"/>
      <c r="H3" s="254"/>
      <c r="I3" s="254"/>
      <c r="J3" s="254"/>
      <c r="K3" s="21"/>
      <c r="L3" s="6"/>
      <c r="M3" s="3" t="s">
        <v>122</v>
      </c>
      <c r="N3" s="3" t="s">
        <v>122</v>
      </c>
      <c r="O3" s="7"/>
      <c r="P3" s="18"/>
    </row>
    <row r="4" spans="1:16" ht="18.7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6"/>
      <c r="M4" s="3" t="s">
        <v>31</v>
      </c>
      <c r="N4" s="3" t="s">
        <v>31</v>
      </c>
      <c r="O4" s="7"/>
      <c r="P4" s="18"/>
    </row>
    <row r="5" spans="1:16" ht="30" customHeight="1" x14ac:dyDescent="0.35">
      <c r="A5" s="21"/>
      <c r="B5" s="22" t="s">
        <v>198</v>
      </c>
      <c r="C5" s="21"/>
      <c r="D5" s="21"/>
      <c r="E5" s="21"/>
      <c r="F5" s="21"/>
      <c r="G5" s="21"/>
      <c r="H5" s="255">
        <v>45575</v>
      </c>
      <c r="I5" s="255"/>
      <c r="J5" s="255"/>
      <c r="K5" s="21"/>
      <c r="L5" s="6"/>
      <c r="M5" s="3" t="s">
        <v>32</v>
      </c>
      <c r="N5" s="3" t="s">
        <v>32</v>
      </c>
      <c r="O5" s="7"/>
      <c r="P5" s="18"/>
    </row>
    <row r="6" spans="1:16" ht="18.75" customHeight="1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6"/>
      <c r="M6" s="3" t="s">
        <v>123</v>
      </c>
      <c r="N6" s="3" t="s">
        <v>34</v>
      </c>
      <c r="O6" s="7"/>
      <c r="P6" s="18"/>
    </row>
    <row r="7" spans="1:16" ht="18.75" hidden="1" customHeight="1" x14ac:dyDescent="0.35">
      <c r="A7" s="23"/>
      <c r="B7" s="23"/>
      <c r="C7" s="23"/>
      <c r="L7" s="6"/>
      <c r="M7" s="3" t="s">
        <v>34</v>
      </c>
      <c r="N7" s="3" t="s">
        <v>41</v>
      </c>
      <c r="O7" s="7"/>
      <c r="P7" s="18"/>
    </row>
    <row r="8" spans="1:16" ht="18.75" hidden="1" customHeight="1" x14ac:dyDescent="0.35">
      <c r="A8" s="23"/>
      <c r="B8" s="24" t="s">
        <v>67</v>
      </c>
      <c r="C8" s="28"/>
      <c r="L8" s="6"/>
      <c r="M8" s="3" t="s">
        <v>41</v>
      </c>
      <c r="N8" s="3" t="s">
        <v>38</v>
      </c>
      <c r="O8" s="7"/>
      <c r="P8" s="18"/>
    </row>
    <row r="9" spans="1:16" ht="18.75" hidden="1" customHeight="1" x14ac:dyDescent="0.35">
      <c r="A9" s="23"/>
      <c r="B9" s="24" t="s">
        <v>77</v>
      </c>
      <c r="C9" s="28"/>
      <c r="L9" s="6"/>
      <c r="M9" s="3" t="s">
        <v>38</v>
      </c>
      <c r="N9" s="3" t="s">
        <v>35</v>
      </c>
      <c r="O9" s="7"/>
      <c r="P9" s="18"/>
    </row>
    <row r="10" spans="1:16" ht="18.75" hidden="1" customHeight="1" x14ac:dyDescent="0.35">
      <c r="A10" s="23"/>
      <c r="B10" s="24" t="s">
        <v>78</v>
      </c>
      <c r="C10" s="28"/>
      <c r="L10" s="6"/>
      <c r="M10" s="3" t="s">
        <v>35</v>
      </c>
      <c r="N10" s="3" t="s">
        <v>36</v>
      </c>
      <c r="O10" s="7"/>
      <c r="P10" s="18"/>
    </row>
    <row r="11" spans="1:16" ht="18.75" hidden="1" customHeight="1" x14ac:dyDescent="0.35">
      <c r="A11" s="23"/>
      <c r="B11" s="256" t="s">
        <v>76</v>
      </c>
      <c r="C11" s="28"/>
      <c r="L11" s="6"/>
      <c r="M11" s="3" t="s">
        <v>36</v>
      </c>
      <c r="N11" s="3" t="s">
        <v>47</v>
      </c>
      <c r="O11" s="7"/>
      <c r="P11" s="18"/>
    </row>
    <row r="12" spans="1:16" ht="18.75" hidden="1" customHeight="1" x14ac:dyDescent="0.35">
      <c r="A12" s="23"/>
      <c r="B12" s="257"/>
      <c r="C12" s="29"/>
      <c r="L12" s="6"/>
      <c r="M12" s="3" t="s">
        <v>47</v>
      </c>
      <c r="N12" s="3" t="s">
        <v>37</v>
      </c>
      <c r="O12" s="7"/>
      <c r="P12" s="18"/>
    </row>
    <row r="13" spans="1:16" ht="18.75" hidden="1" customHeight="1" x14ac:dyDescent="0.35">
      <c r="A13" s="23"/>
      <c r="B13" s="24" t="s">
        <v>82</v>
      </c>
      <c r="C13" s="28"/>
      <c r="L13" s="6"/>
      <c r="M13" s="3" t="s">
        <v>37</v>
      </c>
      <c r="N13" s="3" t="s">
        <v>39</v>
      </c>
      <c r="O13" s="7"/>
      <c r="P13" s="18"/>
    </row>
    <row r="14" spans="1:16" ht="18.75" hidden="1" customHeight="1" x14ac:dyDescent="0.35">
      <c r="A14" s="23"/>
      <c r="B14" s="24" t="s">
        <v>98</v>
      </c>
      <c r="C14" s="28"/>
      <c r="L14" s="6"/>
      <c r="M14" s="3" t="s">
        <v>39</v>
      </c>
      <c r="N14" s="3" t="s">
        <v>83</v>
      </c>
      <c r="O14" s="7"/>
      <c r="P14" s="18"/>
    </row>
    <row r="15" spans="1:16" ht="18.75" hidden="1" customHeight="1" x14ac:dyDescent="0.35">
      <c r="A15" s="23"/>
      <c r="B15" s="24" t="s">
        <v>23</v>
      </c>
      <c r="C15" s="64"/>
      <c r="L15" s="6"/>
      <c r="M15" s="3" t="s">
        <v>87</v>
      </c>
      <c r="N15" s="3" t="s">
        <v>87</v>
      </c>
      <c r="O15" s="7"/>
      <c r="P15" s="18"/>
    </row>
    <row r="16" spans="1:16" ht="18.75" hidden="1" customHeight="1" thickBot="1" x14ac:dyDescent="0.4">
      <c r="A16" s="25"/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6"/>
      <c r="M16" s="3" t="s">
        <v>89</v>
      </c>
      <c r="N16" s="3" t="s">
        <v>89</v>
      </c>
      <c r="O16" s="7"/>
      <c r="P16" s="18"/>
    </row>
    <row r="17" spans="1:16" ht="18.75" hidden="1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3" t="s">
        <v>90</v>
      </c>
      <c r="N17" s="3" t="s">
        <v>90</v>
      </c>
      <c r="O17" s="7"/>
      <c r="P17" s="18"/>
    </row>
    <row r="18" spans="1:16" ht="18.75" hidden="1" customHeight="1" x14ac:dyDescent="0.35">
      <c r="A18" s="7"/>
      <c r="B18" s="20" t="s">
        <v>65</v>
      </c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3" t="s">
        <v>102</v>
      </c>
      <c r="O18" s="7"/>
      <c r="P18" s="18"/>
    </row>
    <row r="19" spans="1:16" ht="18.75" hidden="1" customHeight="1" x14ac:dyDescent="0.35">
      <c r="A19" s="7"/>
      <c r="B19" s="19" t="s">
        <v>295</v>
      </c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3" t="s">
        <v>101</v>
      </c>
      <c r="O19" s="7"/>
      <c r="P19" s="18"/>
    </row>
    <row r="20" spans="1:16" ht="18.75" hidden="1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18"/>
    </row>
    <row r="21" spans="1:16" ht="18.75" hidden="1" customHeight="1" x14ac:dyDescent="0.35">
      <c r="A21" s="7"/>
      <c r="B21" s="20" t="s">
        <v>66</v>
      </c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18"/>
    </row>
    <row r="22" spans="1:16" ht="18.75" hidden="1" customHeight="1" x14ac:dyDescent="0.35">
      <c r="A22" s="7"/>
      <c r="B22" s="19" t="s">
        <v>295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18"/>
    </row>
    <row r="23" spans="1:16" ht="18.75" hidden="1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18"/>
    </row>
    <row r="24" spans="1:16" ht="18.75" hidden="1" customHeight="1" x14ac:dyDescent="0.35">
      <c r="A24" s="7"/>
      <c r="B24" s="20" t="s">
        <v>70</v>
      </c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18"/>
    </row>
    <row r="25" spans="1:16" ht="18.75" hidden="1" customHeight="1" x14ac:dyDescent="0.35">
      <c r="A25" s="7"/>
      <c r="B25" s="31">
        <v>45575</v>
      </c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18"/>
    </row>
    <row r="26" spans="1:16" ht="18.75" hidden="1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18"/>
    </row>
    <row r="27" spans="1:16" ht="18.75" hidden="1" customHeight="1" x14ac:dyDescent="0.35">
      <c r="A27" s="2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1" t="s">
        <v>59</v>
      </c>
      <c r="M27" s="2" t="s">
        <v>62</v>
      </c>
      <c r="N27" s="1" t="s">
        <v>63</v>
      </c>
      <c r="O27" s="1" t="s">
        <v>64</v>
      </c>
      <c r="P27" s="2" t="s">
        <v>13</v>
      </c>
    </row>
    <row r="28" spans="1:16" ht="18.75" customHeight="1" thickBot="1" x14ac:dyDescent="0.4">
      <c r="A28" s="213" t="s">
        <v>14</v>
      </c>
      <c r="B28" s="157" t="s">
        <v>57</v>
      </c>
      <c r="C28" s="157" t="s">
        <v>17</v>
      </c>
      <c r="D28" s="157" t="s">
        <v>124</v>
      </c>
      <c r="E28" s="157" t="s">
        <v>19</v>
      </c>
      <c r="F28" s="157" t="s">
        <v>125</v>
      </c>
      <c r="G28" s="157" t="s">
        <v>20</v>
      </c>
      <c r="H28" s="157" t="s">
        <v>58</v>
      </c>
      <c r="I28" s="157" t="s">
        <v>23</v>
      </c>
      <c r="J28" s="157" t="s">
        <v>24</v>
      </c>
      <c r="K28" s="157" t="s">
        <v>25</v>
      </c>
      <c r="L28" s="1" t="s">
        <v>60</v>
      </c>
      <c r="M28" s="1" t="s">
        <v>48</v>
      </c>
      <c r="N28" s="1" t="s">
        <v>54</v>
      </c>
      <c r="O28" s="1">
        <v>1</v>
      </c>
      <c r="P28" s="1">
        <v>1</v>
      </c>
    </row>
    <row r="29" spans="1:16" ht="18.75" customHeight="1" x14ac:dyDescent="0.35">
      <c r="A29" s="258" t="s">
        <v>26</v>
      </c>
      <c r="B29" s="258"/>
      <c r="C29" s="209" t="s">
        <v>214</v>
      </c>
      <c r="D29" s="208"/>
      <c r="E29" s="208"/>
      <c r="F29" s="208"/>
      <c r="G29" s="208"/>
      <c r="H29" s="208"/>
      <c r="I29" s="208"/>
      <c r="J29" s="208"/>
      <c r="K29" s="208"/>
      <c r="L29" s="1" t="s">
        <v>30</v>
      </c>
      <c r="M29" s="1" t="s">
        <v>61</v>
      </c>
      <c r="N29" s="1" t="s">
        <v>61</v>
      </c>
      <c r="O29" s="1">
        <f>IF(SUM(O30:O45)=0,0,1)</f>
        <v>1</v>
      </c>
      <c r="P29" s="1">
        <f>IF(SUM(P30:P45)=0,0,1)</f>
        <v>1</v>
      </c>
    </row>
    <row r="30" spans="1:16" ht="18.75" customHeight="1" x14ac:dyDescent="0.35">
      <c r="A30" s="159">
        <v>54176</v>
      </c>
      <c r="B30" s="160" t="s">
        <v>296</v>
      </c>
      <c r="C30" s="159" t="s">
        <v>297</v>
      </c>
      <c r="D30" s="161">
        <v>1.5</v>
      </c>
      <c r="E30" s="162">
        <v>6.9900000000000004E-2</v>
      </c>
      <c r="F30" s="163">
        <v>8.1256518999999999E-2</v>
      </c>
      <c r="G30" s="164">
        <v>99</v>
      </c>
      <c r="H30" s="159" t="s">
        <v>22</v>
      </c>
      <c r="I30" s="164">
        <v>0</v>
      </c>
      <c r="J30" s="159" t="s">
        <v>52</v>
      </c>
      <c r="K30" s="165" t="s">
        <v>282</v>
      </c>
      <c r="L30" s="158" t="s">
        <v>30</v>
      </c>
      <c r="M30" s="3">
        <v>1</v>
      </c>
      <c r="N30" s="3" t="s">
        <v>56</v>
      </c>
      <c r="O30" s="3">
        <f>IF($C$11="More than or equal to",IF(AND(OR($C$8="",$C$8=L30),OR($C$9="",C30="Purchase &amp; Remortgage",$C$9=C30),OR($C$10="",$C$10=N30),OR($C$12="",$C$12&lt;=D30),OR($C$13="",$C$13=M30),OR($C$14="",$C$14=H30),OR($C$15="",$C$15=I30)),1,0),IF($C$11="Less than or equal to",IF(AND(OR($C$8="",$C$8=L30),OR($C$9="",C30="Purchase &amp; Remortgage",$C$9=C30),OR($C$10="",$C$10=N30),OR($C$12="",$C$12&gt;=D30),OR($C$13="",$C$13=M30),OR($C$14="",$C$14=H30),OR($C$15="",$C$15=I30)),1,0),IF(AND(OR($C$8="",$C$8=L30),OR($C$9="",C30="Purchase &amp; Remortgage",$C$9=C30),OR($C$10="",$C$10=N30),OR($C$12="",$C$12=D30),OR($C$13="",$C$13=M30),OR($C$14="",$C$14=H30),OR($C$15="",$C$15=I30)),1,0)))</f>
        <v>1</v>
      </c>
      <c r="P30" s="3">
        <f t="shared" ref="P30:P45" si="0">IF(A30=0,0,1)</f>
        <v>1</v>
      </c>
    </row>
    <row r="31" spans="1:16" ht="18.75" customHeight="1" x14ac:dyDescent="0.35">
      <c r="A31" s="166">
        <v>54339</v>
      </c>
      <c r="B31" s="167" t="s">
        <v>298</v>
      </c>
      <c r="C31" s="166" t="s">
        <v>297</v>
      </c>
      <c r="D31" s="168">
        <v>0.65</v>
      </c>
      <c r="E31" s="169">
        <v>4.2799999999999998E-2</v>
      </c>
      <c r="F31" s="170">
        <v>7.5415481000000006E-2</v>
      </c>
      <c r="G31" s="171">
        <v>799</v>
      </c>
      <c r="H31" s="166" t="s">
        <v>22</v>
      </c>
      <c r="I31" s="171">
        <v>0</v>
      </c>
      <c r="J31" s="166" t="s">
        <v>52</v>
      </c>
      <c r="K31" s="172" t="s">
        <v>283</v>
      </c>
      <c r="L31" s="158" t="s">
        <v>30</v>
      </c>
      <c r="M31" s="3">
        <v>2</v>
      </c>
      <c r="N31" s="3" t="s">
        <v>56</v>
      </c>
      <c r="O31" s="3">
        <f t="shared" ref="O31:O45" si="1">IF($C$11="More than or equal to",IF(AND(OR($C$8="",$C$8=L31),OR($C$9="",C31="Purchase &amp; Remortgage",$C$9=C31),OR($C$10="",$C$10=N31),OR($C$12="",$C$12&lt;=D31),OR($C$13="",$C$13=M31),OR($C$14="",$C$14=H31),OR($C$15="",$C$15=I31)),1,0),IF($C$11="Less than or equal to",IF(AND(OR($C$8="",$C$8=L31),OR($C$9="",C31="Purchase &amp; Remortgage",$C$9=C31),OR($C$10="",$C$10=N31),OR($C$12="",$C$12&gt;=D31),OR($C$13="",$C$13=M31),OR($C$14="",$C$14=H31),OR($C$15="",$C$15=I31)),1,0),IF(AND(OR($C$8="",$C$8=L31),OR($C$9="",C31="Purchase &amp; Remortgage",$C$9=C31),OR($C$10="",$C$10=N31),OR($C$12="",$C$12=D31),OR($C$13="",$C$13=M31),OR($C$14="",$C$14=H31),OR($C$15="",$C$15=I31)),1,0)))</f>
        <v>1</v>
      </c>
      <c r="P31" s="3">
        <f t="shared" si="0"/>
        <v>1</v>
      </c>
    </row>
    <row r="32" spans="1:16" ht="18.75" customHeight="1" x14ac:dyDescent="0.35">
      <c r="A32" s="159">
        <v>54341</v>
      </c>
      <c r="B32" s="160" t="s">
        <v>299</v>
      </c>
      <c r="C32" s="159" t="s">
        <v>297</v>
      </c>
      <c r="D32" s="161">
        <v>0.65</v>
      </c>
      <c r="E32" s="162">
        <v>4.4499999999999998E-2</v>
      </c>
      <c r="F32" s="163">
        <v>7.5162067999999999E-2</v>
      </c>
      <c r="G32" s="164">
        <v>0</v>
      </c>
      <c r="H32" s="159" t="s">
        <v>22</v>
      </c>
      <c r="I32" s="164">
        <v>0</v>
      </c>
      <c r="J32" s="159" t="s">
        <v>52</v>
      </c>
      <c r="K32" s="165" t="s">
        <v>283</v>
      </c>
      <c r="L32" s="158" t="s">
        <v>30</v>
      </c>
      <c r="M32" s="3">
        <v>2</v>
      </c>
      <c r="N32" s="3" t="s">
        <v>56</v>
      </c>
      <c r="O32" s="3">
        <f t="shared" si="1"/>
        <v>1</v>
      </c>
      <c r="P32" s="3">
        <f t="shared" si="0"/>
        <v>1</v>
      </c>
    </row>
    <row r="33" spans="1:16" ht="18.75" customHeight="1" x14ac:dyDescent="0.35">
      <c r="A33" s="166">
        <v>54338</v>
      </c>
      <c r="B33" s="167" t="s">
        <v>300</v>
      </c>
      <c r="C33" s="166" t="s">
        <v>297</v>
      </c>
      <c r="D33" s="168">
        <v>0.75</v>
      </c>
      <c r="E33" s="169">
        <v>4.2500000000000003E-2</v>
      </c>
      <c r="F33" s="170">
        <v>7.5659164000000001E-2</v>
      </c>
      <c r="G33" s="171">
        <v>1599</v>
      </c>
      <c r="H33" s="166" t="s">
        <v>22</v>
      </c>
      <c r="I33" s="171">
        <v>0</v>
      </c>
      <c r="J33" s="166" t="s">
        <v>52</v>
      </c>
      <c r="K33" s="172" t="s">
        <v>283</v>
      </c>
      <c r="L33" s="158" t="s">
        <v>30</v>
      </c>
      <c r="M33" s="3">
        <v>2</v>
      </c>
      <c r="N33" s="3" t="s">
        <v>56</v>
      </c>
      <c r="O33" s="3">
        <f t="shared" si="1"/>
        <v>1</v>
      </c>
      <c r="P33" s="3">
        <f t="shared" si="0"/>
        <v>1</v>
      </c>
    </row>
    <row r="34" spans="1:16" ht="18.75" customHeight="1" x14ac:dyDescent="0.35">
      <c r="A34" s="159">
        <v>54340</v>
      </c>
      <c r="B34" s="160" t="s">
        <v>298</v>
      </c>
      <c r="C34" s="159" t="s">
        <v>297</v>
      </c>
      <c r="D34" s="161">
        <v>0.75</v>
      </c>
      <c r="E34" s="162">
        <v>4.4299999999999999E-2</v>
      </c>
      <c r="F34" s="163">
        <v>7.5731243000000004E-2</v>
      </c>
      <c r="G34" s="164">
        <v>799</v>
      </c>
      <c r="H34" s="159" t="s">
        <v>22</v>
      </c>
      <c r="I34" s="164">
        <v>0</v>
      </c>
      <c r="J34" s="159" t="s">
        <v>52</v>
      </c>
      <c r="K34" s="165" t="s">
        <v>283</v>
      </c>
      <c r="L34" s="158" t="s">
        <v>30</v>
      </c>
      <c r="M34" s="3">
        <v>2</v>
      </c>
      <c r="N34" s="3" t="s">
        <v>56</v>
      </c>
      <c r="O34" s="3">
        <f t="shared" si="1"/>
        <v>1</v>
      </c>
      <c r="P34" s="3">
        <f t="shared" si="0"/>
        <v>1</v>
      </c>
    </row>
    <row r="35" spans="1:16" ht="18.75" customHeight="1" x14ac:dyDescent="0.35">
      <c r="A35" s="166">
        <v>54342</v>
      </c>
      <c r="B35" s="167" t="s">
        <v>299</v>
      </c>
      <c r="C35" s="166" t="s">
        <v>297</v>
      </c>
      <c r="D35" s="168">
        <v>0.75</v>
      </c>
      <c r="E35" s="169">
        <v>4.5400000000000003E-2</v>
      </c>
      <c r="F35" s="170">
        <v>7.5351136999999999E-2</v>
      </c>
      <c r="G35" s="171">
        <v>0</v>
      </c>
      <c r="H35" s="166" t="s">
        <v>22</v>
      </c>
      <c r="I35" s="171">
        <v>0</v>
      </c>
      <c r="J35" s="166" t="s">
        <v>52</v>
      </c>
      <c r="K35" s="172" t="s">
        <v>283</v>
      </c>
      <c r="L35" s="158" t="s">
        <v>30</v>
      </c>
      <c r="M35" s="3">
        <v>2</v>
      </c>
      <c r="N35" s="3" t="s">
        <v>56</v>
      </c>
      <c r="O35" s="3">
        <f t="shared" si="1"/>
        <v>1</v>
      </c>
      <c r="P35" s="3">
        <f t="shared" si="0"/>
        <v>1</v>
      </c>
    </row>
    <row r="36" spans="1:16" ht="18.75" customHeight="1" x14ac:dyDescent="0.35">
      <c r="A36" s="159">
        <v>54190</v>
      </c>
      <c r="B36" s="160" t="s">
        <v>299</v>
      </c>
      <c r="C36" s="159" t="s">
        <v>297</v>
      </c>
      <c r="D36" s="161">
        <v>0.9</v>
      </c>
      <c r="E36" s="162">
        <v>5.8900000000000001E-2</v>
      </c>
      <c r="F36" s="163">
        <v>7.8225907999999997E-2</v>
      </c>
      <c r="G36" s="164">
        <v>0</v>
      </c>
      <c r="H36" s="159" t="s">
        <v>22</v>
      </c>
      <c r="I36" s="164">
        <v>0</v>
      </c>
      <c r="J36" s="159" t="s">
        <v>52</v>
      </c>
      <c r="K36" s="165" t="s">
        <v>283</v>
      </c>
      <c r="L36" s="158" t="s">
        <v>30</v>
      </c>
      <c r="M36" s="3">
        <v>2</v>
      </c>
      <c r="N36" s="3" t="s">
        <v>56</v>
      </c>
      <c r="O36" s="3">
        <f t="shared" si="1"/>
        <v>1</v>
      </c>
      <c r="P36" s="3">
        <f t="shared" si="0"/>
        <v>1</v>
      </c>
    </row>
    <row r="37" spans="1:16" ht="18.75" customHeight="1" x14ac:dyDescent="0.35">
      <c r="A37" s="166">
        <v>54191</v>
      </c>
      <c r="B37" s="167" t="s">
        <v>299</v>
      </c>
      <c r="C37" s="166" t="s">
        <v>297</v>
      </c>
      <c r="D37" s="168">
        <v>0.95</v>
      </c>
      <c r="E37" s="169">
        <v>6.0900000000000003E-2</v>
      </c>
      <c r="F37" s="170">
        <v>7.8658204999999995E-2</v>
      </c>
      <c r="G37" s="171">
        <v>0</v>
      </c>
      <c r="H37" s="166" t="s">
        <v>22</v>
      </c>
      <c r="I37" s="171">
        <v>0</v>
      </c>
      <c r="J37" s="166" t="s">
        <v>52</v>
      </c>
      <c r="K37" s="172" t="s">
        <v>283</v>
      </c>
      <c r="L37" s="158" t="s">
        <v>30</v>
      </c>
      <c r="M37" s="3">
        <v>2</v>
      </c>
      <c r="N37" s="3" t="s">
        <v>56</v>
      </c>
      <c r="O37" s="3">
        <f t="shared" si="1"/>
        <v>1</v>
      </c>
      <c r="P37" s="3">
        <f t="shared" si="0"/>
        <v>1</v>
      </c>
    </row>
    <row r="38" spans="1:16" ht="18.75" customHeight="1" x14ac:dyDescent="0.35">
      <c r="A38" s="159">
        <v>54189</v>
      </c>
      <c r="B38" s="160" t="s">
        <v>299</v>
      </c>
      <c r="C38" s="159" t="s">
        <v>297</v>
      </c>
      <c r="D38" s="161">
        <v>1.5</v>
      </c>
      <c r="E38" s="162">
        <v>6.9900000000000004E-2</v>
      </c>
      <c r="F38" s="163">
        <v>8.0627557000000002E-2</v>
      </c>
      <c r="G38" s="164">
        <v>0</v>
      </c>
      <c r="H38" s="159" t="s">
        <v>22</v>
      </c>
      <c r="I38" s="164">
        <v>0</v>
      </c>
      <c r="J38" s="159" t="s">
        <v>52</v>
      </c>
      <c r="K38" s="165" t="s">
        <v>283</v>
      </c>
      <c r="L38" s="158" t="s">
        <v>30</v>
      </c>
      <c r="M38" s="3">
        <v>2</v>
      </c>
      <c r="N38" s="3" t="s">
        <v>56</v>
      </c>
      <c r="O38" s="3">
        <f t="shared" si="1"/>
        <v>1</v>
      </c>
      <c r="P38" s="3">
        <f t="shared" si="0"/>
        <v>1</v>
      </c>
    </row>
    <row r="39" spans="1:16" ht="18.75" customHeight="1" x14ac:dyDescent="0.35">
      <c r="A39" s="166">
        <v>54188</v>
      </c>
      <c r="B39" s="167" t="s">
        <v>301</v>
      </c>
      <c r="C39" s="166" t="s">
        <v>297</v>
      </c>
      <c r="D39" s="168">
        <v>0.65</v>
      </c>
      <c r="E39" s="169">
        <v>4.0099999999999997E-2</v>
      </c>
      <c r="F39" s="170">
        <v>6.6588310999999997E-2</v>
      </c>
      <c r="G39" s="171">
        <v>1599</v>
      </c>
      <c r="H39" s="166" t="s">
        <v>22</v>
      </c>
      <c r="I39" s="171">
        <v>0</v>
      </c>
      <c r="J39" s="166" t="s">
        <v>52</v>
      </c>
      <c r="K39" s="172" t="s">
        <v>284</v>
      </c>
      <c r="L39" s="158" t="s">
        <v>30</v>
      </c>
      <c r="M39" s="3">
        <v>5</v>
      </c>
      <c r="N39" s="3" t="s">
        <v>56</v>
      </c>
      <c r="O39" s="3">
        <f t="shared" si="1"/>
        <v>1</v>
      </c>
      <c r="P39" s="3">
        <f t="shared" si="0"/>
        <v>1</v>
      </c>
    </row>
    <row r="40" spans="1:16" ht="18.75" customHeight="1" x14ac:dyDescent="0.35">
      <c r="A40" s="159">
        <v>54187</v>
      </c>
      <c r="B40" s="160" t="s">
        <v>302</v>
      </c>
      <c r="C40" s="159" t="s">
        <v>297</v>
      </c>
      <c r="D40" s="161">
        <v>0.65</v>
      </c>
      <c r="E40" s="162">
        <v>4.1099999999999998E-2</v>
      </c>
      <c r="F40" s="163">
        <v>6.6740794000000006E-2</v>
      </c>
      <c r="G40" s="164">
        <v>799</v>
      </c>
      <c r="H40" s="159" t="s">
        <v>22</v>
      </c>
      <c r="I40" s="164">
        <v>0</v>
      </c>
      <c r="J40" s="159" t="s">
        <v>52</v>
      </c>
      <c r="K40" s="165" t="s">
        <v>284</v>
      </c>
      <c r="L40" s="158" t="s">
        <v>30</v>
      </c>
      <c r="M40" s="3">
        <v>5</v>
      </c>
      <c r="N40" s="3" t="s">
        <v>56</v>
      </c>
      <c r="O40" s="3">
        <f t="shared" si="1"/>
        <v>1</v>
      </c>
      <c r="P40" s="3">
        <f t="shared" si="0"/>
        <v>1</v>
      </c>
    </row>
    <row r="41" spans="1:16" ht="18.75" customHeight="1" x14ac:dyDescent="0.35">
      <c r="A41" s="166">
        <v>54184</v>
      </c>
      <c r="B41" s="167" t="s">
        <v>301</v>
      </c>
      <c r="C41" s="166" t="s">
        <v>297</v>
      </c>
      <c r="D41" s="168">
        <v>0.75</v>
      </c>
      <c r="E41" s="169">
        <v>4.1099999999999998E-2</v>
      </c>
      <c r="F41" s="170">
        <v>6.7026044000000007E-2</v>
      </c>
      <c r="G41" s="171">
        <v>1599</v>
      </c>
      <c r="H41" s="166" t="s">
        <v>22</v>
      </c>
      <c r="I41" s="171">
        <v>0</v>
      </c>
      <c r="J41" s="166" t="s">
        <v>52</v>
      </c>
      <c r="K41" s="172" t="s">
        <v>284</v>
      </c>
      <c r="L41" s="158" t="s">
        <v>30</v>
      </c>
      <c r="M41" s="3">
        <v>5</v>
      </c>
      <c r="N41" s="3" t="s">
        <v>56</v>
      </c>
      <c r="O41" s="3">
        <f t="shared" si="1"/>
        <v>1</v>
      </c>
      <c r="P41" s="3">
        <f t="shared" si="0"/>
        <v>1</v>
      </c>
    </row>
    <row r="42" spans="1:16" ht="18.75" customHeight="1" x14ac:dyDescent="0.35">
      <c r="A42" s="159">
        <v>54182</v>
      </c>
      <c r="B42" s="160" t="s">
        <v>302</v>
      </c>
      <c r="C42" s="159" t="s">
        <v>297</v>
      </c>
      <c r="D42" s="161">
        <v>0.75</v>
      </c>
      <c r="E42" s="162">
        <v>4.2099999999999999E-2</v>
      </c>
      <c r="F42" s="163">
        <v>6.7292726999999997E-2</v>
      </c>
      <c r="G42" s="164">
        <v>799</v>
      </c>
      <c r="H42" s="159" t="s">
        <v>22</v>
      </c>
      <c r="I42" s="164">
        <v>0</v>
      </c>
      <c r="J42" s="159" t="s">
        <v>52</v>
      </c>
      <c r="K42" s="165" t="s">
        <v>284</v>
      </c>
      <c r="L42" s="158" t="s">
        <v>30</v>
      </c>
      <c r="M42" s="3">
        <v>5</v>
      </c>
      <c r="N42" s="3" t="s">
        <v>56</v>
      </c>
      <c r="O42" s="3">
        <f t="shared" si="1"/>
        <v>1</v>
      </c>
      <c r="P42" s="3">
        <f t="shared" si="0"/>
        <v>1</v>
      </c>
    </row>
    <row r="43" spans="1:16" ht="18.75" customHeight="1" x14ac:dyDescent="0.35">
      <c r="A43" s="166">
        <v>54186</v>
      </c>
      <c r="B43" s="167" t="s">
        <v>303</v>
      </c>
      <c r="C43" s="166" t="s">
        <v>297</v>
      </c>
      <c r="D43" s="168">
        <v>0.85</v>
      </c>
      <c r="E43" s="169">
        <v>4.99E-2</v>
      </c>
      <c r="F43" s="170">
        <v>7.0056241000000005E-2</v>
      </c>
      <c r="G43" s="171">
        <v>0</v>
      </c>
      <c r="H43" s="166" t="s">
        <v>22</v>
      </c>
      <c r="I43" s="171">
        <v>0</v>
      </c>
      <c r="J43" s="166" t="s">
        <v>52</v>
      </c>
      <c r="K43" s="172" t="s">
        <v>284</v>
      </c>
      <c r="L43" s="158" t="s">
        <v>30</v>
      </c>
      <c r="M43" s="3">
        <v>5</v>
      </c>
      <c r="N43" s="3" t="s">
        <v>56</v>
      </c>
      <c r="O43" s="3">
        <f t="shared" si="1"/>
        <v>1</v>
      </c>
      <c r="P43" s="3">
        <f t="shared" si="0"/>
        <v>1</v>
      </c>
    </row>
    <row r="44" spans="1:16" ht="18.75" customHeight="1" x14ac:dyDescent="0.35">
      <c r="A44" s="159">
        <v>54183</v>
      </c>
      <c r="B44" s="160" t="s">
        <v>303</v>
      </c>
      <c r="C44" s="159" t="s">
        <v>297</v>
      </c>
      <c r="D44" s="161">
        <v>0.9</v>
      </c>
      <c r="E44" s="162">
        <v>5.1900000000000002E-2</v>
      </c>
      <c r="F44" s="163">
        <v>7.0953965999999993E-2</v>
      </c>
      <c r="G44" s="164">
        <v>0</v>
      </c>
      <c r="H44" s="159" t="s">
        <v>22</v>
      </c>
      <c r="I44" s="164">
        <v>0</v>
      </c>
      <c r="J44" s="159" t="s">
        <v>52</v>
      </c>
      <c r="K44" s="165" t="s">
        <v>284</v>
      </c>
      <c r="L44" s="158" t="s">
        <v>30</v>
      </c>
      <c r="M44" s="3">
        <v>5</v>
      </c>
      <c r="N44" s="3" t="s">
        <v>56</v>
      </c>
      <c r="O44" s="3">
        <f t="shared" si="1"/>
        <v>1</v>
      </c>
      <c r="P44" s="3">
        <f t="shared" si="0"/>
        <v>1</v>
      </c>
    </row>
    <row r="45" spans="1:16" ht="18.75" customHeight="1" thickBot="1" x14ac:dyDescent="0.4">
      <c r="A45" s="166">
        <v>54185</v>
      </c>
      <c r="B45" s="167" t="s">
        <v>303</v>
      </c>
      <c r="C45" s="166" t="s">
        <v>297</v>
      </c>
      <c r="D45" s="168">
        <v>0.95</v>
      </c>
      <c r="E45" s="169">
        <v>5.3499999999999999E-2</v>
      </c>
      <c r="F45" s="170">
        <v>7.1677043999999995E-2</v>
      </c>
      <c r="G45" s="171">
        <v>0</v>
      </c>
      <c r="H45" s="166" t="s">
        <v>22</v>
      </c>
      <c r="I45" s="171">
        <v>0</v>
      </c>
      <c r="J45" s="166" t="s">
        <v>52</v>
      </c>
      <c r="K45" s="172" t="s">
        <v>284</v>
      </c>
      <c r="L45" s="158" t="s">
        <v>30</v>
      </c>
      <c r="M45" s="3">
        <v>5</v>
      </c>
      <c r="N45" s="3" t="s">
        <v>56</v>
      </c>
      <c r="O45" s="3">
        <f t="shared" si="1"/>
        <v>1</v>
      </c>
      <c r="P45" s="3">
        <f t="shared" si="0"/>
        <v>1</v>
      </c>
    </row>
    <row r="46" spans="1:16" ht="18.75" customHeight="1" x14ac:dyDescent="0.35">
      <c r="A46" s="253" t="s">
        <v>27</v>
      </c>
      <c r="B46" s="253"/>
      <c r="C46" s="209" t="s">
        <v>214</v>
      </c>
      <c r="D46" s="210"/>
      <c r="E46" s="210"/>
      <c r="F46" s="210"/>
      <c r="G46" s="210"/>
      <c r="H46" s="210"/>
      <c r="I46" s="210"/>
      <c r="J46" s="210"/>
      <c r="K46" s="210"/>
      <c r="L46" s="1" t="s">
        <v>31</v>
      </c>
      <c r="M46" s="1">
        <v>0</v>
      </c>
      <c r="N46" s="1">
        <v>0</v>
      </c>
      <c r="O46" s="1">
        <f>IF(SUM(O47:O51)=0,0,1)</f>
        <v>1</v>
      </c>
      <c r="P46" s="1">
        <f>IF(SUM(P47:P51)=0,0,1)</f>
        <v>1</v>
      </c>
    </row>
    <row r="47" spans="1:16" ht="18.75" customHeight="1" x14ac:dyDescent="0.35">
      <c r="A47" s="166">
        <v>54272</v>
      </c>
      <c r="B47" s="167" t="s">
        <v>299</v>
      </c>
      <c r="C47" s="166" t="s">
        <v>297</v>
      </c>
      <c r="D47" s="168">
        <v>0.65</v>
      </c>
      <c r="E47" s="169">
        <v>5.8400000000000001E-2</v>
      </c>
      <c r="F47" s="170">
        <v>7.9617921999999994E-2</v>
      </c>
      <c r="G47" s="171">
        <v>0</v>
      </c>
      <c r="H47" s="166" t="s">
        <v>22</v>
      </c>
      <c r="I47" s="171">
        <v>0</v>
      </c>
      <c r="J47" s="166" t="s">
        <v>52</v>
      </c>
      <c r="K47" s="172" t="s">
        <v>283</v>
      </c>
      <c r="L47" s="158" t="s">
        <v>31</v>
      </c>
      <c r="M47" s="3">
        <v>2</v>
      </c>
      <c r="N47" s="3" t="s">
        <v>56</v>
      </c>
      <c r="O47" s="3">
        <f t="shared" ref="O47:O61" si="2">IF($C$11="More than or equal to",IF(AND(OR($C$8="",$C$8=L47),OR($C$9="",C47="Purchase &amp; Remortgage",$C$9=C47),OR($C$10="",$C$10=N47),OR($C$12="",$C$12&lt;=D47),OR($C$13="",$C$13=M47),OR($C$14="",$C$14=H47),OR($C$15="",$C$15=I47)),1,0),IF($C$11="Less than or equal to",IF(AND(OR($C$8="",$C$8=L47),OR($C$9="",C47="Purchase &amp; Remortgage",$C$9=C47),OR($C$10="",$C$10=N47),OR($C$12="",$C$12&gt;=D47),OR($C$13="",$C$13=M47),OR($C$14="",$C$14=H47),OR($C$15="",$C$15=I47)),1,0),IF(AND(OR($C$8="",$C$8=L47),OR($C$9="",C47="Purchase &amp; Remortgage",$C$9=C47),OR($C$10="",$C$10=N47),OR($C$12="",$C$12=D47),OR($C$13="",$C$13=M47),OR($C$14="",$C$14=H47),OR($C$15="",$C$15=I47)),1,0)))</f>
        <v>1</v>
      </c>
      <c r="P47" s="3">
        <f t="shared" ref="P47:P68" si="3">IF(A47=0,0,1)</f>
        <v>1</v>
      </c>
    </row>
    <row r="48" spans="1:16" ht="18.75" customHeight="1" x14ac:dyDescent="0.35">
      <c r="A48" s="159">
        <v>54275</v>
      </c>
      <c r="B48" s="160" t="s">
        <v>299</v>
      </c>
      <c r="C48" s="159" t="s">
        <v>297</v>
      </c>
      <c r="D48" s="161">
        <v>0.85</v>
      </c>
      <c r="E48" s="162">
        <v>6.0400000000000002E-2</v>
      </c>
      <c r="F48" s="163">
        <v>7.8550264999999994E-2</v>
      </c>
      <c r="G48" s="164">
        <v>0</v>
      </c>
      <c r="H48" s="159" t="s">
        <v>22</v>
      </c>
      <c r="I48" s="164">
        <v>0</v>
      </c>
      <c r="J48" s="159" t="s">
        <v>52</v>
      </c>
      <c r="K48" s="165" t="s">
        <v>283</v>
      </c>
      <c r="L48" s="158" t="s">
        <v>31</v>
      </c>
      <c r="M48" s="3">
        <v>2</v>
      </c>
      <c r="N48" s="3" t="s">
        <v>56</v>
      </c>
      <c r="O48" s="3">
        <f t="shared" si="2"/>
        <v>1</v>
      </c>
      <c r="P48" s="3">
        <f t="shared" si="3"/>
        <v>1</v>
      </c>
    </row>
    <row r="49" spans="1:16" ht="18.75" customHeight="1" x14ac:dyDescent="0.35">
      <c r="A49" s="166">
        <v>54274</v>
      </c>
      <c r="B49" s="167" t="s">
        <v>299</v>
      </c>
      <c r="C49" s="166" t="s">
        <v>297</v>
      </c>
      <c r="D49" s="168">
        <v>1.25</v>
      </c>
      <c r="E49" s="169">
        <v>7.1400000000000005E-2</v>
      </c>
      <c r="F49" s="170">
        <v>8.0959539999999997E-2</v>
      </c>
      <c r="G49" s="171">
        <v>0</v>
      </c>
      <c r="H49" s="166" t="s">
        <v>22</v>
      </c>
      <c r="I49" s="171">
        <v>0</v>
      </c>
      <c r="J49" s="166" t="s">
        <v>52</v>
      </c>
      <c r="K49" s="172" t="s">
        <v>283</v>
      </c>
      <c r="L49" s="158" t="s">
        <v>31</v>
      </c>
      <c r="M49" s="3">
        <v>2</v>
      </c>
      <c r="N49" s="3" t="s">
        <v>56</v>
      </c>
      <c r="O49" s="3">
        <f t="shared" si="2"/>
        <v>1</v>
      </c>
      <c r="P49" s="3">
        <f t="shared" si="3"/>
        <v>1</v>
      </c>
    </row>
    <row r="50" spans="1:16" ht="18.75" customHeight="1" x14ac:dyDescent="0.35">
      <c r="A50" s="159">
        <v>54273</v>
      </c>
      <c r="B50" s="160" t="s">
        <v>303</v>
      </c>
      <c r="C50" s="159" t="s">
        <v>297</v>
      </c>
      <c r="D50" s="161">
        <v>0.65</v>
      </c>
      <c r="E50" s="162">
        <v>5.3900000000000003E-2</v>
      </c>
      <c r="F50" s="163">
        <v>7.4516313000000001E-2</v>
      </c>
      <c r="G50" s="164">
        <v>0</v>
      </c>
      <c r="H50" s="159" t="s">
        <v>22</v>
      </c>
      <c r="I50" s="164">
        <v>0</v>
      </c>
      <c r="J50" s="159" t="s">
        <v>52</v>
      </c>
      <c r="K50" s="165" t="s">
        <v>284</v>
      </c>
      <c r="L50" s="158" t="s">
        <v>31</v>
      </c>
      <c r="M50" s="3">
        <v>5</v>
      </c>
      <c r="N50" s="3" t="s">
        <v>56</v>
      </c>
      <c r="O50" s="3">
        <f t="shared" si="2"/>
        <v>1</v>
      </c>
      <c r="P50" s="3">
        <f t="shared" si="3"/>
        <v>1</v>
      </c>
    </row>
    <row r="51" spans="1:16" ht="18.75" customHeight="1" thickBot="1" x14ac:dyDescent="0.4">
      <c r="A51" s="166">
        <v>54276</v>
      </c>
      <c r="B51" s="167" t="s">
        <v>303</v>
      </c>
      <c r="C51" s="166" t="s">
        <v>297</v>
      </c>
      <c r="D51" s="168">
        <v>0.85</v>
      </c>
      <c r="E51" s="169">
        <v>5.5899999999999998E-2</v>
      </c>
      <c r="F51" s="170">
        <v>7.2767939000000004E-2</v>
      </c>
      <c r="G51" s="171">
        <v>0</v>
      </c>
      <c r="H51" s="166" t="s">
        <v>22</v>
      </c>
      <c r="I51" s="171">
        <v>0</v>
      </c>
      <c r="J51" s="166" t="s">
        <v>52</v>
      </c>
      <c r="K51" s="172" t="s">
        <v>284</v>
      </c>
      <c r="L51" s="158" t="s">
        <v>31</v>
      </c>
      <c r="M51" s="3">
        <v>5</v>
      </c>
      <c r="N51" s="3" t="s">
        <v>56</v>
      </c>
      <c r="O51" s="3">
        <f t="shared" si="2"/>
        <v>1</v>
      </c>
      <c r="P51" s="3">
        <f t="shared" si="3"/>
        <v>1</v>
      </c>
    </row>
    <row r="52" spans="1:16" ht="18.75" customHeight="1" x14ac:dyDescent="0.35">
      <c r="A52" s="253" t="s">
        <v>28</v>
      </c>
      <c r="B52" s="253"/>
      <c r="C52" s="209" t="s">
        <v>214</v>
      </c>
      <c r="D52" s="210"/>
      <c r="E52" s="210"/>
      <c r="F52" s="210"/>
      <c r="G52" s="210"/>
      <c r="H52" s="210"/>
      <c r="I52" s="210"/>
      <c r="J52" s="210"/>
      <c r="K52" s="210"/>
      <c r="L52" s="51" t="s">
        <v>32</v>
      </c>
      <c r="M52" s="51">
        <v>0</v>
      </c>
      <c r="N52" s="51">
        <v>0</v>
      </c>
      <c r="O52" s="51">
        <f>IF(SUM(O53:O61)=0,0,1)</f>
        <v>1</v>
      </c>
      <c r="P52" s="51">
        <f>IF(SUM(P53:P61)=0,0,1)</f>
        <v>1</v>
      </c>
    </row>
    <row r="53" spans="1:16" ht="18.75" customHeight="1" x14ac:dyDescent="0.35">
      <c r="A53" s="159">
        <v>54175</v>
      </c>
      <c r="B53" s="160" t="s">
        <v>296</v>
      </c>
      <c r="C53" s="159" t="s">
        <v>297</v>
      </c>
      <c r="D53" s="161">
        <v>1.5</v>
      </c>
      <c r="E53" s="162">
        <v>6.9900000000000004E-2</v>
      </c>
      <c r="F53" s="163">
        <v>8.2133333000000003E-2</v>
      </c>
      <c r="G53" s="164">
        <v>99</v>
      </c>
      <c r="H53" s="159" t="s">
        <v>22</v>
      </c>
      <c r="I53" s="164">
        <v>0</v>
      </c>
      <c r="J53" s="159" t="s">
        <v>52</v>
      </c>
      <c r="K53" s="165" t="s">
        <v>282</v>
      </c>
      <c r="L53" s="158" t="s">
        <v>32</v>
      </c>
      <c r="M53" s="3">
        <v>1</v>
      </c>
      <c r="N53" s="3" t="s">
        <v>56</v>
      </c>
      <c r="O53" s="3">
        <f t="shared" si="2"/>
        <v>1</v>
      </c>
      <c r="P53" s="3">
        <f t="shared" si="3"/>
        <v>1</v>
      </c>
    </row>
    <row r="54" spans="1:16" ht="18.75" customHeight="1" x14ac:dyDescent="0.35">
      <c r="A54" s="166">
        <v>54197</v>
      </c>
      <c r="B54" s="167" t="s">
        <v>300</v>
      </c>
      <c r="C54" s="166" t="s">
        <v>297</v>
      </c>
      <c r="D54" s="168">
        <v>0.65</v>
      </c>
      <c r="E54" s="169">
        <v>4.5400000000000003E-2</v>
      </c>
      <c r="F54" s="170">
        <v>7.8105307999999998E-2</v>
      </c>
      <c r="G54" s="171">
        <v>1899</v>
      </c>
      <c r="H54" s="166" t="s">
        <v>22</v>
      </c>
      <c r="I54" s="171">
        <v>0</v>
      </c>
      <c r="J54" s="166" t="s">
        <v>52</v>
      </c>
      <c r="K54" s="172" t="s">
        <v>283</v>
      </c>
      <c r="L54" s="158" t="s">
        <v>32</v>
      </c>
      <c r="M54" s="3">
        <v>2</v>
      </c>
      <c r="N54" s="3" t="s">
        <v>56</v>
      </c>
      <c r="O54" s="3">
        <f t="shared" si="2"/>
        <v>1</v>
      </c>
      <c r="P54" s="3">
        <f t="shared" si="3"/>
        <v>1</v>
      </c>
    </row>
    <row r="55" spans="1:16" ht="18.75" customHeight="1" x14ac:dyDescent="0.35">
      <c r="A55" s="159">
        <v>54193</v>
      </c>
      <c r="B55" s="160" t="s">
        <v>298</v>
      </c>
      <c r="C55" s="159" t="s">
        <v>297</v>
      </c>
      <c r="D55" s="161">
        <v>0.65</v>
      </c>
      <c r="E55" s="162">
        <v>4.7399999999999998E-2</v>
      </c>
      <c r="F55" s="163">
        <v>7.8509113000000005E-2</v>
      </c>
      <c r="G55" s="164">
        <v>999</v>
      </c>
      <c r="H55" s="159" t="s">
        <v>22</v>
      </c>
      <c r="I55" s="164">
        <v>0</v>
      </c>
      <c r="J55" s="159" t="s">
        <v>52</v>
      </c>
      <c r="K55" s="165" t="s">
        <v>283</v>
      </c>
      <c r="L55" s="158" t="s">
        <v>32</v>
      </c>
      <c r="M55" s="3">
        <v>2</v>
      </c>
      <c r="N55" s="3" t="s">
        <v>56</v>
      </c>
      <c r="O55" s="3">
        <f t="shared" si="2"/>
        <v>1</v>
      </c>
      <c r="P55" s="3">
        <f t="shared" si="3"/>
        <v>1</v>
      </c>
    </row>
    <row r="56" spans="1:16" ht="18.75" customHeight="1" x14ac:dyDescent="0.35">
      <c r="A56" s="166">
        <v>54192</v>
      </c>
      <c r="B56" s="167" t="s">
        <v>299</v>
      </c>
      <c r="C56" s="166" t="s">
        <v>297</v>
      </c>
      <c r="D56" s="168">
        <v>0.65</v>
      </c>
      <c r="E56" s="169">
        <v>4.99E-2</v>
      </c>
      <c r="F56" s="170">
        <v>7.8171519999999994E-2</v>
      </c>
      <c r="G56" s="171">
        <v>0</v>
      </c>
      <c r="H56" s="166" t="s">
        <v>22</v>
      </c>
      <c r="I56" s="171">
        <v>0</v>
      </c>
      <c r="J56" s="166" t="s">
        <v>52</v>
      </c>
      <c r="K56" s="172" t="s">
        <v>283</v>
      </c>
      <c r="L56" s="158" t="s">
        <v>32</v>
      </c>
      <c r="M56" s="3">
        <v>2</v>
      </c>
      <c r="N56" s="3" t="s">
        <v>56</v>
      </c>
      <c r="O56" s="3">
        <f t="shared" si="2"/>
        <v>1</v>
      </c>
      <c r="P56" s="3">
        <f t="shared" si="3"/>
        <v>1</v>
      </c>
    </row>
    <row r="57" spans="1:16" ht="18.75" customHeight="1" x14ac:dyDescent="0.35">
      <c r="A57" s="159">
        <v>54194</v>
      </c>
      <c r="B57" s="160" t="s">
        <v>298</v>
      </c>
      <c r="C57" s="159" t="s">
        <v>297</v>
      </c>
      <c r="D57" s="161">
        <v>0.75</v>
      </c>
      <c r="E57" s="162">
        <v>4.8399999999999999E-2</v>
      </c>
      <c r="F57" s="163">
        <v>7.8424606999999993E-2</v>
      </c>
      <c r="G57" s="164">
        <v>999</v>
      </c>
      <c r="H57" s="159" t="s">
        <v>22</v>
      </c>
      <c r="I57" s="164">
        <v>0</v>
      </c>
      <c r="J57" s="159" t="s">
        <v>52</v>
      </c>
      <c r="K57" s="165" t="s">
        <v>283</v>
      </c>
      <c r="L57" s="158" t="s">
        <v>32</v>
      </c>
      <c r="M57" s="3">
        <v>2</v>
      </c>
      <c r="N57" s="3" t="s">
        <v>56</v>
      </c>
      <c r="O57" s="3">
        <f t="shared" si="2"/>
        <v>1</v>
      </c>
      <c r="P57" s="3">
        <f t="shared" si="3"/>
        <v>1</v>
      </c>
    </row>
    <row r="58" spans="1:16" ht="18.75" customHeight="1" x14ac:dyDescent="0.35">
      <c r="A58" s="166">
        <v>54196</v>
      </c>
      <c r="B58" s="167" t="s">
        <v>299</v>
      </c>
      <c r="C58" s="166" t="s">
        <v>297</v>
      </c>
      <c r="D58" s="168">
        <v>0.75</v>
      </c>
      <c r="E58" s="169">
        <v>5.0900000000000001E-2</v>
      </c>
      <c r="F58" s="170">
        <v>7.8340338999999995E-2</v>
      </c>
      <c r="G58" s="171">
        <v>0</v>
      </c>
      <c r="H58" s="166" t="s">
        <v>22</v>
      </c>
      <c r="I58" s="171">
        <v>0</v>
      </c>
      <c r="J58" s="166" t="s">
        <v>52</v>
      </c>
      <c r="K58" s="172" t="s">
        <v>283</v>
      </c>
      <c r="L58" s="158" t="s">
        <v>32</v>
      </c>
      <c r="M58" s="3">
        <v>2</v>
      </c>
      <c r="N58" s="3" t="s">
        <v>56</v>
      </c>
      <c r="O58" s="3">
        <f t="shared" si="2"/>
        <v>1</v>
      </c>
      <c r="P58" s="3">
        <f t="shared" si="3"/>
        <v>1</v>
      </c>
    </row>
    <row r="59" spans="1:16" ht="18.75" customHeight="1" x14ac:dyDescent="0.35">
      <c r="A59" s="159">
        <v>54198</v>
      </c>
      <c r="B59" s="160" t="s">
        <v>299</v>
      </c>
      <c r="C59" s="159" t="s">
        <v>297</v>
      </c>
      <c r="D59" s="161">
        <v>0.85</v>
      </c>
      <c r="E59" s="162">
        <v>6.6900000000000001E-2</v>
      </c>
      <c r="F59" s="163">
        <v>8.1096459999999995E-2</v>
      </c>
      <c r="G59" s="164">
        <v>0</v>
      </c>
      <c r="H59" s="159" t="s">
        <v>22</v>
      </c>
      <c r="I59" s="164">
        <v>0</v>
      </c>
      <c r="J59" s="159" t="s">
        <v>52</v>
      </c>
      <c r="K59" s="165" t="s">
        <v>283</v>
      </c>
      <c r="L59" s="158" t="s">
        <v>32</v>
      </c>
      <c r="M59" s="3">
        <v>2</v>
      </c>
      <c r="N59" s="3" t="s">
        <v>56</v>
      </c>
      <c r="O59" s="3">
        <f t="shared" si="2"/>
        <v>1</v>
      </c>
      <c r="P59" s="3">
        <f t="shared" si="3"/>
        <v>1</v>
      </c>
    </row>
    <row r="60" spans="1:16" ht="18.75" customHeight="1" x14ac:dyDescent="0.35">
      <c r="A60" s="166">
        <v>54195</v>
      </c>
      <c r="B60" s="167" t="s">
        <v>302</v>
      </c>
      <c r="C60" s="166" t="s">
        <v>297</v>
      </c>
      <c r="D60" s="168">
        <v>0.65</v>
      </c>
      <c r="E60" s="169">
        <v>4.5900000000000003E-2</v>
      </c>
      <c r="F60" s="170">
        <v>7.2134948000000004E-2</v>
      </c>
      <c r="G60" s="171">
        <v>999</v>
      </c>
      <c r="H60" s="166" t="s">
        <v>22</v>
      </c>
      <c r="I60" s="171">
        <v>0</v>
      </c>
      <c r="J60" s="166" t="s">
        <v>52</v>
      </c>
      <c r="K60" s="172" t="s">
        <v>284</v>
      </c>
      <c r="L60" s="158" t="s">
        <v>32</v>
      </c>
      <c r="M60" s="3">
        <v>5</v>
      </c>
      <c r="N60" s="3" t="s">
        <v>56</v>
      </c>
      <c r="O60" s="3">
        <f t="shared" si="2"/>
        <v>1</v>
      </c>
      <c r="P60" s="3">
        <f t="shared" si="3"/>
        <v>1</v>
      </c>
    </row>
    <row r="61" spans="1:16" ht="18.75" customHeight="1" thickBot="1" x14ac:dyDescent="0.4">
      <c r="A61" s="159">
        <v>54199</v>
      </c>
      <c r="B61" s="160" t="s">
        <v>303</v>
      </c>
      <c r="C61" s="159" t="s">
        <v>297</v>
      </c>
      <c r="D61" s="161">
        <v>0.75</v>
      </c>
      <c r="E61" s="162">
        <v>4.7899999999999998E-2</v>
      </c>
      <c r="F61" s="163">
        <v>7.2374004000000006E-2</v>
      </c>
      <c r="G61" s="164">
        <v>0</v>
      </c>
      <c r="H61" s="159" t="s">
        <v>22</v>
      </c>
      <c r="I61" s="164">
        <v>0</v>
      </c>
      <c r="J61" s="159" t="s">
        <v>52</v>
      </c>
      <c r="K61" s="165" t="s">
        <v>284</v>
      </c>
      <c r="L61" s="158" t="s">
        <v>32</v>
      </c>
      <c r="M61" s="3">
        <v>5</v>
      </c>
      <c r="N61" s="3" t="s">
        <v>56</v>
      </c>
      <c r="O61" s="3">
        <f t="shared" si="2"/>
        <v>1</v>
      </c>
      <c r="P61" s="3">
        <f t="shared" si="3"/>
        <v>1</v>
      </c>
    </row>
    <row r="62" spans="1:16" ht="18.75" customHeight="1" x14ac:dyDescent="0.35">
      <c r="A62" s="253" t="s">
        <v>40</v>
      </c>
      <c r="B62" s="253"/>
      <c r="C62" s="209" t="s">
        <v>214</v>
      </c>
      <c r="D62" s="210"/>
      <c r="E62" s="210"/>
      <c r="F62" s="210"/>
      <c r="G62" s="210"/>
      <c r="H62" s="210"/>
      <c r="I62" s="210"/>
      <c r="J62" s="210"/>
      <c r="K62" s="210"/>
      <c r="L62" s="1" t="s">
        <v>34</v>
      </c>
      <c r="M62" s="1">
        <v>0</v>
      </c>
      <c r="N62" s="1">
        <v>0</v>
      </c>
      <c r="O62" s="1">
        <f>IF(SUM(O63:O72)=0,0,1)</f>
        <v>1</v>
      </c>
      <c r="P62" s="1">
        <f>IF(SUM(P63:P72)=0,0,1)</f>
        <v>1</v>
      </c>
    </row>
    <row r="63" spans="1:16" ht="18.75" customHeight="1" x14ac:dyDescent="0.35">
      <c r="A63" s="159">
        <v>54278</v>
      </c>
      <c r="B63" s="160" t="s">
        <v>298</v>
      </c>
      <c r="C63" s="159" t="s">
        <v>297</v>
      </c>
      <c r="D63" s="161">
        <v>0.6</v>
      </c>
      <c r="E63" s="162">
        <v>4.36E-2</v>
      </c>
      <c r="F63" s="163">
        <v>7.9699965999999997E-2</v>
      </c>
      <c r="G63" s="164">
        <v>1499</v>
      </c>
      <c r="H63" s="159" t="s">
        <v>22</v>
      </c>
      <c r="I63" s="164">
        <v>0</v>
      </c>
      <c r="J63" s="159" t="s">
        <v>52</v>
      </c>
      <c r="K63" s="165" t="s">
        <v>283</v>
      </c>
      <c r="L63" s="158" t="s">
        <v>34</v>
      </c>
      <c r="M63" s="3">
        <v>2</v>
      </c>
      <c r="N63" s="3" t="s">
        <v>56</v>
      </c>
      <c r="O63" s="3">
        <f t="shared" ref="O63:O83" si="4">IF($C$11="More than or equal to",IF(AND(OR($C$8="",$C$8=L63),OR($C$9="",C63="Purchase &amp; Remortgage",$C$9=C63),OR($C$10="",$C$10=N63),OR($C$12="",$C$12&lt;=D63),OR($C$13="",$C$13=M63),OR($C$14="",$C$14=H63),OR($C$15="",$C$15=I63)),1,0),IF($C$11="Less than or equal to",IF(AND(OR($C$8="",$C$8=L63),OR($C$9="",C63="Purchase &amp; Remortgage",$C$9=C63),OR($C$10="",$C$10=N63),OR($C$12="",$C$12&gt;=D63),OR($C$13="",$C$13=M63),OR($C$14="",$C$14=H63),OR($C$15="",$C$15=I63)),1,0),IF(AND(OR($C$8="",$C$8=L63),OR($C$9="",C63="Purchase &amp; Remortgage",$C$9=C63),OR($C$10="",$C$10=N63),OR($C$12="",$C$12=D63),OR($C$13="",$C$13=M63),OR($C$14="",$C$14=H63),OR($C$15="",$C$15=I63)),1,0)))</f>
        <v>1</v>
      </c>
      <c r="P63" s="3">
        <f t="shared" si="3"/>
        <v>1</v>
      </c>
    </row>
    <row r="64" spans="1:16" ht="18.75" customHeight="1" x14ac:dyDescent="0.35">
      <c r="A64" s="166">
        <v>54281</v>
      </c>
      <c r="B64" s="167" t="s">
        <v>298</v>
      </c>
      <c r="C64" s="166" t="s">
        <v>297</v>
      </c>
      <c r="D64" s="168">
        <v>0.6</v>
      </c>
      <c r="E64" s="169">
        <v>4.53E-2</v>
      </c>
      <c r="F64" s="170">
        <v>8.0178536999999994E-2</v>
      </c>
      <c r="G64" s="171">
        <v>999</v>
      </c>
      <c r="H64" s="166" t="s">
        <v>22</v>
      </c>
      <c r="I64" s="171">
        <v>0</v>
      </c>
      <c r="J64" s="166" t="s">
        <v>52</v>
      </c>
      <c r="K64" s="172" t="s">
        <v>283</v>
      </c>
      <c r="L64" s="158" t="s">
        <v>34</v>
      </c>
      <c r="M64" s="3">
        <v>2</v>
      </c>
      <c r="N64" s="3" t="s">
        <v>56</v>
      </c>
      <c r="O64" s="3">
        <f t="shared" si="4"/>
        <v>1</v>
      </c>
      <c r="P64" s="3">
        <f t="shared" si="3"/>
        <v>1</v>
      </c>
    </row>
    <row r="65" spans="1:16" ht="18.75" customHeight="1" x14ac:dyDescent="0.35">
      <c r="A65" s="159">
        <v>54287</v>
      </c>
      <c r="B65" s="160" t="s">
        <v>299</v>
      </c>
      <c r="C65" s="159" t="s">
        <v>297</v>
      </c>
      <c r="D65" s="161">
        <v>0.6</v>
      </c>
      <c r="E65" s="162">
        <v>4.8000000000000001E-2</v>
      </c>
      <c r="F65" s="163">
        <v>7.9872363000000002E-2</v>
      </c>
      <c r="G65" s="164">
        <v>0</v>
      </c>
      <c r="H65" s="159" t="s">
        <v>22</v>
      </c>
      <c r="I65" s="164">
        <v>0</v>
      </c>
      <c r="J65" s="159" t="s">
        <v>52</v>
      </c>
      <c r="K65" s="165" t="s">
        <v>283</v>
      </c>
      <c r="L65" s="158" t="s">
        <v>34</v>
      </c>
      <c r="M65" s="3">
        <v>2</v>
      </c>
      <c r="N65" s="3" t="s">
        <v>56</v>
      </c>
      <c r="O65" s="3">
        <f t="shared" si="4"/>
        <v>1</v>
      </c>
      <c r="P65" s="3">
        <f t="shared" si="3"/>
        <v>1</v>
      </c>
    </row>
    <row r="66" spans="1:16" ht="18.75" customHeight="1" x14ac:dyDescent="0.35">
      <c r="A66" s="166">
        <v>54282</v>
      </c>
      <c r="B66" s="167" t="s">
        <v>298</v>
      </c>
      <c r="C66" s="166" t="s">
        <v>297</v>
      </c>
      <c r="D66" s="168">
        <v>0.75</v>
      </c>
      <c r="E66" s="169">
        <v>5.4899999999999997E-2</v>
      </c>
      <c r="F66" s="170">
        <v>8.1831213999999999E-2</v>
      </c>
      <c r="G66" s="171">
        <v>999</v>
      </c>
      <c r="H66" s="166" t="s">
        <v>22</v>
      </c>
      <c r="I66" s="171">
        <v>0</v>
      </c>
      <c r="J66" s="166" t="s">
        <v>52</v>
      </c>
      <c r="K66" s="172" t="s">
        <v>283</v>
      </c>
      <c r="L66" s="158" t="s">
        <v>34</v>
      </c>
      <c r="M66" s="3">
        <v>2</v>
      </c>
      <c r="N66" s="3" t="s">
        <v>56</v>
      </c>
      <c r="O66" s="3">
        <f t="shared" si="4"/>
        <v>1</v>
      </c>
      <c r="P66" s="3">
        <f t="shared" si="3"/>
        <v>1</v>
      </c>
    </row>
    <row r="67" spans="1:16" ht="18.75" customHeight="1" x14ac:dyDescent="0.35">
      <c r="A67" s="159">
        <v>54290</v>
      </c>
      <c r="B67" s="160" t="s">
        <v>299</v>
      </c>
      <c r="C67" s="159" t="s">
        <v>297</v>
      </c>
      <c r="D67" s="161">
        <v>0.75</v>
      </c>
      <c r="E67" s="162">
        <v>6.0299999999999999E-2</v>
      </c>
      <c r="F67" s="163">
        <v>8.1985638999999999E-2</v>
      </c>
      <c r="G67" s="164">
        <v>0</v>
      </c>
      <c r="H67" s="159" t="s">
        <v>22</v>
      </c>
      <c r="I67" s="164">
        <v>0</v>
      </c>
      <c r="J67" s="159" t="s">
        <v>52</v>
      </c>
      <c r="K67" s="165" t="s">
        <v>283</v>
      </c>
      <c r="L67" s="158" t="s">
        <v>34</v>
      </c>
      <c r="M67" s="3">
        <v>2</v>
      </c>
      <c r="N67" s="3" t="s">
        <v>56</v>
      </c>
      <c r="O67" s="3">
        <f t="shared" si="4"/>
        <v>1</v>
      </c>
      <c r="P67" s="3">
        <f t="shared" si="3"/>
        <v>1</v>
      </c>
    </row>
    <row r="68" spans="1:16" ht="18.75" customHeight="1" x14ac:dyDescent="0.35">
      <c r="A68" s="166">
        <v>54289</v>
      </c>
      <c r="B68" s="167" t="s">
        <v>299</v>
      </c>
      <c r="C68" s="166" t="s">
        <v>297</v>
      </c>
      <c r="D68" s="168">
        <v>1.25</v>
      </c>
      <c r="E68" s="169">
        <v>6.6900000000000001E-2</v>
      </c>
      <c r="F68" s="170">
        <v>8.3147971000000001E-2</v>
      </c>
      <c r="G68" s="171">
        <v>0</v>
      </c>
      <c r="H68" s="166" t="s">
        <v>22</v>
      </c>
      <c r="I68" s="171">
        <v>0</v>
      </c>
      <c r="J68" s="166" t="s">
        <v>52</v>
      </c>
      <c r="K68" s="172" t="s">
        <v>283</v>
      </c>
      <c r="L68" s="158" t="s">
        <v>34</v>
      </c>
      <c r="M68" s="3">
        <v>2</v>
      </c>
      <c r="N68" s="3" t="s">
        <v>56</v>
      </c>
      <c r="O68" s="3">
        <f t="shared" si="4"/>
        <v>1</v>
      </c>
      <c r="P68" s="3">
        <f t="shared" si="3"/>
        <v>1</v>
      </c>
    </row>
    <row r="69" spans="1:16" ht="18.75" customHeight="1" x14ac:dyDescent="0.35">
      <c r="A69" s="159">
        <v>54293</v>
      </c>
      <c r="B69" s="160" t="s">
        <v>302</v>
      </c>
      <c r="C69" s="159" t="s">
        <v>297</v>
      </c>
      <c r="D69" s="161">
        <v>0.6</v>
      </c>
      <c r="E69" s="162">
        <v>4.1399999999999999E-2</v>
      </c>
      <c r="F69" s="163">
        <v>7.2679327000000002E-2</v>
      </c>
      <c r="G69" s="164">
        <v>999</v>
      </c>
      <c r="H69" s="159" t="s">
        <v>22</v>
      </c>
      <c r="I69" s="164">
        <v>0</v>
      </c>
      <c r="J69" s="159" t="s">
        <v>52</v>
      </c>
      <c r="K69" s="165" t="s">
        <v>284</v>
      </c>
      <c r="L69" s="158" t="s">
        <v>34</v>
      </c>
      <c r="M69" s="3">
        <v>5</v>
      </c>
      <c r="N69" s="3" t="s">
        <v>56</v>
      </c>
      <c r="O69" s="3">
        <f t="shared" si="4"/>
        <v>1</v>
      </c>
      <c r="P69" s="3">
        <f t="shared" ref="P69:P83" si="5">IF(A69=0,0,1)</f>
        <v>1</v>
      </c>
    </row>
    <row r="70" spans="1:16" ht="18.75" customHeight="1" x14ac:dyDescent="0.35">
      <c r="A70" s="166">
        <v>54296</v>
      </c>
      <c r="B70" s="167" t="s">
        <v>303</v>
      </c>
      <c r="C70" s="166" t="s">
        <v>297</v>
      </c>
      <c r="D70" s="168">
        <v>0.6</v>
      </c>
      <c r="E70" s="169">
        <v>4.3299999999999998E-2</v>
      </c>
      <c r="F70" s="170">
        <v>7.2651485000000002E-2</v>
      </c>
      <c r="G70" s="171">
        <v>0</v>
      </c>
      <c r="H70" s="166" t="s">
        <v>22</v>
      </c>
      <c r="I70" s="171">
        <v>0</v>
      </c>
      <c r="J70" s="166" t="s">
        <v>52</v>
      </c>
      <c r="K70" s="172" t="s">
        <v>284</v>
      </c>
      <c r="L70" s="158" t="s">
        <v>34</v>
      </c>
      <c r="M70" s="3">
        <v>5</v>
      </c>
      <c r="N70" s="3" t="s">
        <v>56</v>
      </c>
      <c r="O70" s="3">
        <f t="shared" si="4"/>
        <v>1</v>
      </c>
      <c r="P70" s="3">
        <f t="shared" si="5"/>
        <v>1</v>
      </c>
    </row>
    <row r="71" spans="1:16" ht="18.75" customHeight="1" x14ac:dyDescent="0.35">
      <c r="A71" s="159">
        <v>54292</v>
      </c>
      <c r="B71" s="160" t="s">
        <v>302</v>
      </c>
      <c r="C71" s="159" t="s">
        <v>297</v>
      </c>
      <c r="D71" s="161">
        <v>0.75</v>
      </c>
      <c r="E71" s="162">
        <v>5.4100000000000002E-2</v>
      </c>
      <c r="F71" s="163">
        <v>7.7226401E-2</v>
      </c>
      <c r="G71" s="164">
        <v>999</v>
      </c>
      <c r="H71" s="159" t="s">
        <v>22</v>
      </c>
      <c r="I71" s="164">
        <v>0</v>
      </c>
      <c r="J71" s="159" t="s">
        <v>52</v>
      </c>
      <c r="K71" s="165" t="s">
        <v>284</v>
      </c>
      <c r="L71" s="158" t="s">
        <v>34</v>
      </c>
      <c r="M71" s="3">
        <v>5</v>
      </c>
      <c r="N71" s="3" t="s">
        <v>56</v>
      </c>
      <c r="O71" s="3">
        <f t="shared" si="4"/>
        <v>1</v>
      </c>
      <c r="P71" s="3">
        <f t="shared" si="5"/>
        <v>1</v>
      </c>
    </row>
    <row r="72" spans="1:16" ht="18.75" customHeight="1" thickBot="1" x14ac:dyDescent="0.4">
      <c r="A72" s="166">
        <v>54285</v>
      </c>
      <c r="B72" s="167" t="s">
        <v>303</v>
      </c>
      <c r="C72" s="166" t="s">
        <v>297</v>
      </c>
      <c r="D72" s="168">
        <v>0.75</v>
      </c>
      <c r="E72" s="169">
        <v>5.5199999999999999E-2</v>
      </c>
      <c r="F72" s="170">
        <v>7.6895355999999998E-2</v>
      </c>
      <c r="G72" s="171">
        <v>0</v>
      </c>
      <c r="H72" s="166" t="s">
        <v>22</v>
      </c>
      <c r="I72" s="171">
        <v>0</v>
      </c>
      <c r="J72" s="166" t="s">
        <v>52</v>
      </c>
      <c r="K72" s="172" t="s">
        <v>284</v>
      </c>
      <c r="L72" s="158" t="s">
        <v>34</v>
      </c>
      <c r="M72" s="3">
        <v>5</v>
      </c>
      <c r="N72" s="3" t="s">
        <v>56</v>
      </c>
      <c r="O72" s="3">
        <f t="shared" si="4"/>
        <v>1</v>
      </c>
      <c r="P72" s="3">
        <f t="shared" si="5"/>
        <v>1</v>
      </c>
    </row>
    <row r="73" spans="1:16" ht="18.75" customHeight="1" x14ac:dyDescent="0.35">
      <c r="A73" s="253" t="s">
        <v>121</v>
      </c>
      <c r="B73" s="253"/>
      <c r="C73" s="209" t="s">
        <v>214</v>
      </c>
      <c r="D73" s="210"/>
      <c r="E73" s="210"/>
      <c r="F73" s="210"/>
      <c r="G73" s="210"/>
      <c r="H73" s="210"/>
      <c r="I73" s="210"/>
      <c r="J73" s="210"/>
      <c r="K73" s="210"/>
      <c r="L73" s="1" t="s">
        <v>41</v>
      </c>
      <c r="M73" s="1">
        <v>0</v>
      </c>
      <c r="N73" s="1">
        <v>0</v>
      </c>
      <c r="O73" s="1">
        <f>IF(SUM(O74:O83)=0,0,1)</f>
        <v>1</v>
      </c>
      <c r="P73" s="1">
        <f>IF(SUM(P74:P83)=0,0,1)</f>
        <v>1</v>
      </c>
    </row>
    <row r="74" spans="1:16" ht="18.75" customHeight="1" x14ac:dyDescent="0.35">
      <c r="A74" s="159">
        <v>54363</v>
      </c>
      <c r="B74" s="160" t="s">
        <v>298</v>
      </c>
      <c r="C74" s="159" t="s">
        <v>297</v>
      </c>
      <c r="D74" s="161">
        <v>0.6</v>
      </c>
      <c r="E74" s="162">
        <v>4.41E-2</v>
      </c>
      <c r="F74" s="163">
        <v>7.9784403000000004E-2</v>
      </c>
      <c r="G74" s="164">
        <v>1499</v>
      </c>
      <c r="H74" s="159" t="s">
        <v>22</v>
      </c>
      <c r="I74" s="164">
        <v>0</v>
      </c>
      <c r="J74" s="159" t="s">
        <v>52</v>
      </c>
      <c r="K74" s="165" t="s">
        <v>283</v>
      </c>
      <c r="L74" s="158" t="s">
        <v>41</v>
      </c>
      <c r="M74" s="3">
        <v>2</v>
      </c>
      <c r="N74" s="3" t="s">
        <v>56</v>
      </c>
      <c r="O74" s="3">
        <f t="shared" si="4"/>
        <v>1</v>
      </c>
      <c r="P74" s="3">
        <f t="shared" si="5"/>
        <v>1</v>
      </c>
    </row>
    <row r="75" spans="1:16" ht="18.75" customHeight="1" x14ac:dyDescent="0.35">
      <c r="A75" s="166">
        <v>54355</v>
      </c>
      <c r="B75" s="167" t="s">
        <v>298</v>
      </c>
      <c r="C75" s="166" t="s">
        <v>297</v>
      </c>
      <c r="D75" s="168">
        <v>0.6</v>
      </c>
      <c r="E75" s="169">
        <v>4.58E-2</v>
      </c>
      <c r="F75" s="170">
        <v>8.0263604000000002E-2</v>
      </c>
      <c r="G75" s="171">
        <v>999</v>
      </c>
      <c r="H75" s="166" t="s">
        <v>22</v>
      </c>
      <c r="I75" s="171">
        <v>0</v>
      </c>
      <c r="J75" s="166" t="s">
        <v>52</v>
      </c>
      <c r="K75" s="172" t="s">
        <v>283</v>
      </c>
      <c r="L75" s="158" t="s">
        <v>41</v>
      </c>
      <c r="M75" s="3">
        <v>2</v>
      </c>
      <c r="N75" s="3" t="s">
        <v>56</v>
      </c>
      <c r="O75" s="3">
        <f t="shared" si="4"/>
        <v>1</v>
      </c>
      <c r="P75" s="3">
        <f t="shared" si="5"/>
        <v>1</v>
      </c>
    </row>
    <row r="76" spans="1:16" ht="18.75" customHeight="1" x14ac:dyDescent="0.35">
      <c r="A76" s="159">
        <v>54362</v>
      </c>
      <c r="B76" s="160" t="s">
        <v>299</v>
      </c>
      <c r="C76" s="159" t="s">
        <v>297</v>
      </c>
      <c r="D76" s="161">
        <v>0.6</v>
      </c>
      <c r="E76" s="162">
        <v>4.8500000000000001E-2</v>
      </c>
      <c r="F76" s="163">
        <v>7.9957110999999997E-2</v>
      </c>
      <c r="G76" s="164">
        <v>0</v>
      </c>
      <c r="H76" s="159" t="s">
        <v>22</v>
      </c>
      <c r="I76" s="164">
        <v>0</v>
      </c>
      <c r="J76" s="159" t="s">
        <v>52</v>
      </c>
      <c r="K76" s="165" t="s">
        <v>283</v>
      </c>
      <c r="L76" s="158" t="s">
        <v>41</v>
      </c>
      <c r="M76" s="3">
        <v>2</v>
      </c>
      <c r="N76" s="3" t="s">
        <v>56</v>
      </c>
      <c r="O76" s="3">
        <f t="shared" si="4"/>
        <v>1</v>
      </c>
      <c r="P76" s="3">
        <f t="shared" si="5"/>
        <v>1</v>
      </c>
    </row>
    <row r="77" spans="1:16" ht="18.75" customHeight="1" x14ac:dyDescent="0.35">
      <c r="A77" s="166">
        <v>54373</v>
      </c>
      <c r="B77" s="167" t="s">
        <v>298</v>
      </c>
      <c r="C77" s="166" t="s">
        <v>297</v>
      </c>
      <c r="D77" s="168">
        <v>0.75</v>
      </c>
      <c r="E77" s="169">
        <v>5.5399999999999998E-2</v>
      </c>
      <c r="F77" s="170">
        <v>8.1918427000000002E-2</v>
      </c>
      <c r="G77" s="171">
        <v>999</v>
      </c>
      <c r="H77" s="166" t="s">
        <v>22</v>
      </c>
      <c r="I77" s="171">
        <v>0</v>
      </c>
      <c r="J77" s="166" t="s">
        <v>52</v>
      </c>
      <c r="K77" s="172" t="s">
        <v>283</v>
      </c>
      <c r="L77" s="158" t="s">
        <v>41</v>
      </c>
      <c r="M77" s="3">
        <v>2</v>
      </c>
      <c r="N77" s="3" t="s">
        <v>56</v>
      </c>
      <c r="O77" s="3">
        <f t="shared" si="4"/>
        <v>1</v>
      </c>
      <c r="P77" s="3">
        <f t="shared" si="5"/>
        <v>1</v>
      </c>
    </row>
    <row r="78" spans="1:16" ht="18.75" customHeight="1" x14ac:dyDescent="0.35">
      <c r="A78" s="159">
        <v>54366</v>
      </c>
      <c r="B78" s="160" t="s">
        <v>299</v>
      </c>
      <c r="C78" s="159" t="s">
        <v>297</v>
      </c>
      <c r="D78" s="161">
        <v>0.75</v>
      </c>
      <c r="E78" s="162">
        <v>6.1800000000000001E-2</v>
      </c>
      <c r="F78" s="163">
        <v>8.2248036999999996E-2</v>
      </c>
      <c r="G78" s="164">
        <v>0</v>
      </c>
      <c r="H78" s="159" t="s">
        <v>22</v>
      </c>
      <c r="I78" s="164">
        <v>0</v>
      </c>
      <c r="J78" s="159" t="s">
        <v>52</v>
      </c>
      <c r="K78" s="165" t="s">
        <v>283</v>
      </c>
      <c r="L78" s="158" t="s">
        <v>41</v>
      </c>
      <c r="M78" s="3">
        <v>2</v>
      </c>
      <c r="N78" s="3" t="s">
        <v>56</v>
      </c>
      <c r="O78" s="3">
        <f t="shared" si="4"/>
        <v>1</v>
      </c>
      <c r="P78" s="3">
        <f t="shared" si="5"/>
        <v>1</v>
      </c>
    </row>
    <row r="79" spans="1:16" ht="18.75" customHeight="1" x14ac:dyDescent="0.35">
      <c r="A79" s="166">
        <v>54374</v>
      </c>
      <c r="B79" s="167" t="s">
        <v>299</v>
      </c>
      <c r="C79" s="166" t="s">
        <v>297</v>
      </c>
      <c r="D79" s="168">
        <v>1.25</v>
      </c>
      <c r="E79" s="169">
        <v>6.8400000000000002E-2</v>
      </c>
      <c r="F79" s="170">
        <v>8.3414974000000003E-2</v>
      </c>
      <c r="G79" s="171">
        <v>0</v>
      </c>
      <c r="H79" s="166" t="s">
        <v>22</v>
      </c>
      <c r="I79" s="171">
        <v>0</v>
      </c>
      <c r="J79" s="166" t="s">
        <v>52</v>
      </c>
      <c r="K79" s="172" t="s">
        <v>283</v>
      </c>
      <c r="L79" s="158" t="s">
        <v>41</v>
      </c>
      <c r="M79" s="3">
        <v>2</v>
      </c>
      <c r="N79" s="3" t="s">
        <v>56</v>
      </c>
      <c r="O79" s="3">
        <f t="shared" si="4"/>
        <v>1</v>
      </c>
      <c r="P79" s="3">
        <f t="shared" si="5"/>
        <v>1</v>
      </c>
    </row>
    <row r="80" spans="1:16" ht="18.75" customHeight="1" x14ac:dyDescent="0.35">
      <c r="A80" s="159">
        <v>54357</v>
      </c>
      <c r="B80" s="160" t="s">
        <v>302</v>
      </c>
      <c r="C80" s="159" t="s">
        <v>297</v>
      </c>
      <c r="D80" s="161">
        <v>0.6</v>
      </c>
      <c r="E80" s="162">
        <v>4.19E-2</v>
      </c>
      <c r="F80" s="163">
        <v>7.2853292E-2</v>
      </c>
      <c r="G80" s="164">
        <v>999</v>
      </c>
      <c r="H80" s="159" t="s">
        <v>22</v>
      </c>
      <c r="I80" s="164">
        <v>0</v>
      </c>
      <c r="J80" s="159" t="s">
        <v>52</v>
      </c>
      <c r="K80" s="165" t="s">
        <v>284</v>
      </c>
      <c r="L80" s="158" t="s">
        <v>41</v>
      </c>
      <c r="M80" s="3">
        <v>5</v>
      </c>
      <c r="N80" s="3" t="s">
        <v>56</v>
      </c>
      <c r="O80" s="3">
        <f t="shared" si="4"/>
        <v>1</v>
      </c>
      <c r="P80" s="3">
        <f t="shared" si="5"/>
        <v>1</v>
      </c>
    </row>
    <row r="81" spans="1:16" ht="18.75" customHeight="1" x14ac:dyDescent="0.35">
      <c r="A81" s="166">
        <v>54371</v>
      </c>
      <c r="B81" s="167" t="s">
        <v>303</v>
      </c>
      <c r="C81" s="166" t="s">
        <v>297</v>
      </c>
      <c r="D81" s="168">
        <v>0.6</v>
      </c>
      <c r="E81" s="169">
        <v>4.3799999999999999E-2</v>
      </c>
      <c r="F81" s="170">
        <v>7.2824945000000002E-2</v>
      </c>
      <c r="G81" s="171">
        <v>0</v>
      </c>
      <c r="H81" s="166" t="s">
        <v>22</v>
      </c>
      <c r="I81" s="171">
        <v>0</v>
      </c>
      <c r="J81" s="166" t="s">
        <v>52</v>
      </c>
      <c r="K81" s="172" t="s">
        <v>284</v>
      </c>
      <c r="L81" s="158" t="s">
        <v>41</v>
      </c>
      <c r="M81" s="3">
        <v>5</v>
      </c>
      <c r="N81" s="3" t="s">
        <v>56</v>
      </c>
      <c r="O81" s="3">
        <f t="shared" si="4"/>
        <v>1</v>
      </c>
      <c r="P81" s="3">
        <f t="shared" si="5"/>
        <v>1</v>
      </c>
    </row>
    <row r="82" spans="1:16" ht="18.75" customHeight="1" x14ac:dyDescent="0.35">
      <c r="A82" s="159">
        <v>54356</v>
      </c>
      <c r="B82" s="160" t="s">
        <v>302</v>
      </c>
      <c r="C82" s="159" t="s">
        <v>297</v>
      </c>
      <c r="D82" s="161">
        <v>0.75</v>
      </c>
      <c r="E82" s="162">
        <v>5.4600000000000003E-2</v>
      </c>
      <c r="F82" s="163">
        <v>7.7411056000000006E-2</v>
      </c>
      <c r="G82" s="164">
        <v>999</v>
      </c>
      <c r="H82" s="159" t="s">
        <v>22</v>
      </c>
      <c r="I82" s="164">
        <v>0</v>
      </c>
      <c r="J82" s="159" t="s">
        <v>52</v>
      </c>
      <c r="K82" s="165" t="s">
        <v>284</v>
      </c>
      <c r="L82" s="158" t="s">
        <v>41</v>
      </c>
      <c r="M82" s="3">
        <v>5</v>
      </c>
      <c r="N82" s="3" t="s">
        <v>56</v>
      </c>
      <c r="O82" s="3">
        <f t="shared" si="4"/>
        <v>1</v>
      </c>
      <c r="P82" s="3">
        <f t="shared" si="5"/>
        <v>1</v>
      </c>
    </row>
    <row r="83" spans="1:16" ht="18.75" customHeight="1" thickBot="1" x14ac:dyDescent="0.4">
      <c r="A83" s="166">
        <v>54359</v>
      </c>
      <c r="B83" s="167" t="s">
        <v>303</v>
      </c>
      <c r="C83" s="166" t="s">
        <v>297</v>
      </c>
      <c r="D83" s="168">
        <v>0.75</v>
      </c>
      <c r="E83" s="169">
        <v>5.57E-2</v>
      </c>
      <c r="F83" s="170">
        <v>7.7078738999999993E-2</v>
      </c>
      <c r="G83" s="171">
        <v>0</v>
      </c>
      <c r="H83" s="166" t="s">
        <v>22</v>
      </c>
      <c r="I83" s="171">
        <v>0</v>
      </c>
      <c r="J83" s="166" t="s">
        <v>52</v>
      </c>
      <c r="K83" s="172" t="s">
        <v>284</v>
      </c>
      <c r="L83" s="158" t="s">
        <v>41</v>
      </c>
      <c r="M83" s="3">
        <v>5</v>
      </c>
      <c r="N83" s="3" t="s">
        <v>56</v>
      </c>
      <c r="O83" s="3">
        <f t="shared" si="4"/>
        <v>1</v>
      </c>
      <c r="P83" s="3">
        <f t="shared" si="5"/>
        <v>1</v>
      </c>
    </row>
    <row r="84" spans="1:16" ht="18.75" customHeight="1" x14ac:dyDescent="0.35">
      <c r="A84" s="253" t="s">
        <v>42</v>
      </c>
      <c r="B84" s="253"/>
      <c r="C84" s="209" t="s">
        <v>214</v>
      </c>
      <c r="D84" s="210"/>
      <c r="E84" s="210"/>
      <c r="F84" s="210"/>
      <c r="G84" s="210"/>
      <c r="H84" s="210"/>
      <c r="I84" s="210"/>
      <c r="J84" s="210"/>
      <c r="K84" s="210"/>
      <c r="L84" s="1" t="s">
        <v>38</v>
      </c>
      <c r="M84" s="1">
        <v>0</v>
      </c>
      <c r="N84" s="1">
        <v>0</v>
      </c>
      <c r="O84" s="1">
        <f>IF(SUM(O85:O89)=0,0,1)</f>
        <v>1</v>
      </c>
      <c r="P84" s="1">
        <f>IF(SUM(P85:P89)=0,0,1)</f>
        <v>1</v>
      </c>
    </row>
    <row r="85" spans="1:16" ht="18.75" customHeight="1" x14ac:dyDescent="0.35">
      <c r="A85" s="159">
        <v>54299</v>
      </c>
      <c r="B85" s="160" t="s">
        <v>299</v>
      </c>
      <c r="C85" s="159" t="s">
        <v>297</v>
      </c>
      <c r="D85" s="161">
        <v>0.6</v>
      </c>
      <c r="E85" s="162">
        <v>5.5899999999999998E-2</v>
      </c>
      <c r="F85" s="163">
        <v>8.1222053000000002E-2</v>
      </c>
      <c r="G85" s="164">
        <v>0</v>
      </c>
      <c r="H85" s="159" t="s">
        <v>22</v>
      </c>
      <c r="I85" s="164">
        <v>0</v>
      </c>
      <c r="J85" s="159" t="s">
        <v>52</v>
      </c>
      <c r="K85" s="165" t="s">
        <v>283</v>
      </c>
      <c r="L85" s="158" t="s">
        <v>38</v>
      </c>
      <c r="M85" s="3">
        <v>2</v>
      </c>
      <c r="N85" s="3" t="s">
        <v>56</v>
      </c>
      <c r="O85" s="3">
        <f t="shared" ref="O85:O89" si="6">IF($C$11="More than or equal to",IF(AND(OR($C$8="",$C$8=L85),OR($C$9="",C85="Purchase &amp; Remortgage",$C$9=C85),OR($C$10="",$C$10=N85),OR($C$12="",$C$12&lt;=D85),OR($C$13="",$C$13=M85),OR($C$14="",$C$14=H85),OR($C$15="",$C$15=I85)),1,0),IF($C$11="Less than or equal to",IF(AND(OR($C$8="",$C$8=L85),OR($C$9="",C85="Purchase &amp; Remortgage",$C$9=C85),OR($C$10="",$C$10=N85),OR($C$12="",$C$12&gt;=D85),OR($C$13="",$C$13=M85),OR($C$14="",$C$14=H85),OR($C$15="",$C$15=I85)),1,0),IF(AND(OR($C$8="",$C$8=L85),OR($C$9="",C85="Purchase &amp; Remortgage",$C$9=C85),OR($C$10="",$C$10=N85),OR($C$12="",$C$12=D85),OR($C$13="",$C$13=M85),OR($C$14="",$C$14=H85),OR($C$15="",$C$15=I85)),1,0)))</f>
        <v>1</v>
      </c>
      <c r="P85" s="3">
        <f t="shared" ref="P85:P101" si="7">IF(A85=0,0,1)</f>
        <v>1</v>
      </c>
    </row>
    <row r="86" spans="1:16" ht="18.75" customHeight="1" x14ac:dyDescent="0.35">
      <c r="A86" s="166">
        <v>54301</v>
      </c>
      <c r="B86" s="167" t="s">
        <v>299</v>
      </c>
      <c r="C86" s="166" t="s">
        <v>297</v>
      </c>
      <c r="D86" s="168">
        <v>0.75</v>
      </c>
      <c r="E86" s="169">
        <v>6.7000000000000004E-2</v>
      </c>
      <c r="F86" s="170">
        <v>8.3165947000000004E-2</v>
      </c>
      <c r="G86" s="171">
        <v>0</v>
      </c>
      <c r="H86" s="166" t="s">
        <v>22</v>
      </c>
      <c r="I86" s="171">
        <v>0</v>
      </c>
      <c r="J86" s="166" t="s">
        <v>52</v>
      </c>
      <c r="K86" s="172" t="s">
        <v>283</v>
      </c>
      <c r="L86" s="158" t="s">
        <v>38</v>
      </c>
      <c r="M86" s="3">
        <v>2</v>
      </c>
      <c r="N86" s="3" t="s">
        <v>56</v>
      </c>
      <c r="O86" s="3">
        <f t="shared" si="6"/>
        <v>1</v>
      </c>
      <c r="P86" s="3">
        <f t="shared" si="7"/>
        <v>1</v>
      </c>
    </row>
    <row r="87" spans="1:16" ht="18.75" customHeight="1" x14ac:dyDescent="0.35">
      <c r="A87" s="159">
        <v>54300</v>
      </c>
      <c r="B87" s="160" t="s">
        <v>299</v>
      </c>
      <c r="C87" s="159" t="s">
        <v>297</v>
      </c>
      <c r="D87" s="161">
        <v>1.25</v>
      </c>
      <c r="E87" s="162">
        <v>7.0400000000000004E-2</v>
      </c>
      <c r="F87" s="163">
        <v>8.3772844999999999E-2</v>
      </c>
      <c r="G87" s="164">
        <v>0</v>
      </c>
      <c r="H87" s="159" t="s">
        <v>22</v>
      </c>
      <c r="I87" s="164">
        <v>0</v>
      </c>
      <c r="J87" s="159" t="s">
        <v>52</v>
      </c>
      <c r="K87" s="165" t="s">
        <v>283</v>
      </c>
      <c r="L87" s="158" t="s">
        <v>38</v>
      </c>
      <c r="M87" s="3">
        <v>2</v>
      </c>
      <c r="N87" s="3" t="s">
        <v>56</v>
      </c>
      <c r="O87" s="3">
        <f t="shared" si="6"/>
        <v>1</v>
      </c>
      <c r="P87" s="3">
        <f t="shared" si="7"/>
        <v>1</v>
      </c>
    </row>
    <row r="88" spans="1:16" ht="18.75" customHeight="1" x14ac:dyDescent="0.35">
      <c r="A88" s="166">
        <v>54298</v>
      </c>
      <c r="B88" s="167" t="s">
        <v>303</v>
      </c>
      <c r="C88" s="166" t="s">
        <v>297</v>
      </c>
      <c r="D88" s="168">
        <v>0.6</v>
      </c>
      <c r="E88" s="169">
        <v>5.1400000000000001E-2</v>
      </c>
      <c r="F88" s="170">
        <v>7.5514652000000002E-2</v>
      </c>
      <c r="G88" s="171">
        <v>0</v>
      </c>
      <c r="H88" s="166" t="s">
        <v>22</v>
      </c>
      <c r="I88" s="171">
        <v>0</v>
      </c>
      <c r="J88" s="166" t="s">
        <v>52</v>
      </c>
      <c r="K88" s="172" t="s">
        <v>284</v>
      </c>
      <c r="L88" s="158" t="s">
        <v>38</v>
      </c>
      <c r="M88" s="3">
        <v>5</v>
      </c>
      <c r="N88" s="3" t="s">
        <v>56</v>
      </c>
      <c r="O88" s="3">
        <f t="shared" si="6"/>
        <v>1</v>
      </c>
      <c r="P88" s="3">
        <f t="shared" si="7"/>
        <v>1</v>
      </c>
    </row>
    <row r="89" spans="1:16" ht="18.75" customHeight="1" thickBot="1" x14ac:dyDescent="0.4">
      <c r="A89" s="159">
        <v>54297</v>
      </c>
      <c r="B89" s="160" t="s">
        <v>303</v>
      </c>
      <c r="C89" s="159" t="s">
        <v>297</v>
      </c>
      <c r="D89" s="161">
        <v>0.75</v>
      </c>
      <c r="E89" s="162">
        <v>6.1899999999999997E-2</v>
      </c>
      <c r="F89" s="163">
        <v>7.9392193999999999E-2</v>
      </c>
      <c r="G89" s="164">
        <v>0</v>
      </c>
      <c r="H89" s="159" t="s">
        <v>22</v>
      </c>
      <c r="I89" s="164">
        <v>0</v>
      </c>
      <c r="J89" s="159" t="s">
        <v>52</v>
      </c>
      <c r="K89" s="165" t="s">
        <v>284</v>
      </c>
      <c r="L89" s="158" t="s">
        <v>38</v>
      </c>
      <c r="M89" s="3">
        <v>5</v>
      </c>
      <c r="N89" s="3" t="s">
        <v>56</v>
      </c>
      <c r="O89" s="3">
        <f t="shared" si="6"/>
        <v>1</v>
      </c>
      <c r="P89" s="3">
        <f t="shared" si="7"/>
        <v>1</v>
      </c>
    </row>
    <row r="90" spans="1:16" ht="18.75" customHeight="1" x14ac:dyDescent="0.35">
      <c r="A90" s="253" t="s">
        <v>43</v>
      </c>
      <c r="B90" s="253"/>
      <c r="C90" s="209" t="s">
        <v>214</v>
      </c>
      <c r="D90" s="210"/>
      <c r="E90" s="210"/>
      <c r="F90" s="210"/>
      <c r="G90" s="210"/>
      <c r="H90" s="210"/>
      <c r="I90" s="210"/>
      <c r="J90" s="210"/>
      <c r="K90" s="210"/>
      <c r="L90" s="1" t="s">
        <v>35</v>
      </c>
      <c r="M90" s="1">
        <v>0</v>
      </c>
      <c r="N90" s="1">
        <v>0</v>
      </c>
      <c r="O90" s="1">
        <f>IF(SUM(O91:O97)=0,0,1)</f>
        <v>1</v>
      </c>
      <c r="P90" s="1">
        <f>IF(SUM(P91:P97)=0,0,1)</f>
        <v>1</v>
      </c>
    </row>
    <row r="91" spans="1:16" ht="18.75" customHeight="1" x14ac:dyDescent="0.35">
      <c r="A91" s="159">
        <v>54305</v>
      </c>
      <c r="B91" s="160" t="s">
        <v>299</v>
      </c>
      <c r="C91" s="159" t="s">
        <v>297</v>
      </c>
      <c r="D91" s="161">
        <v>0.85</v>
      </c>
      <c r="E91" s="162">
        <v>4.6399999999999997E-2</v>
      </c>
      <c r="F91" s="163">
        <v>7.7585213E-2</v>
      </c>
      <c r="G91" s="164">
        <v>0</v>
      </c>
      <c r="H91" s="159" t="s">
        <v>22</v>
      </c>
      <c r="I91" s="164">
        <v>0</v>
      </c>
      <c r="J91" s="159" t="s">
        <v>52</v>
      </c>
      <c r="K91" s="165" t="s">
        <v>283</v>
      </c>
      <c r="L91" s="158" t="s">
        <v>35</v>
      </c>
      <c r="M91" s="3">
        <v>2</v>
      </c>
      <c r="N91" s="3" t="s">
        <v>56</v>
      </c>
      <c r="O91" s="3">
        <f>IF($C$11="More than or equal to",IF(AND(OR($C$8="",$C$8=L91),OR($C$9="",C91="Purchase &amp; Remortgage",$C$9=C91),OR($C$10="",$C$10=N91),OR($C$12="",$C$12&lt;=D91),OR($C$13="",$C$13=M91),OR($C$14="",$C$14=H91),OR($C$15="",$C$15=I91)),1,0),IF($C$11="Less than or equal to",IF(AND(OR($C$8="",$C$8=L91),OR($C$9="",C91="Purchase &amp; Remortgage",$C$9=C91),OR($C$10="",$C$10=N91),OR($C$12="",$C$12&gt;=D91),OR($C$13="",$C$13=M91),OR($C$14="",$C$14=H91),OR($C$15="",$C$15=I91)),1,0),IF(AND(OR($C$8="",$C$8=L91),OR($C$9="",C91="Purchase &amp; Remortgage",$C$9=C91),OR($C$10="",$C$10=N91),OR($C$12="",$C$12=D91),OR($C$13="",$C$13=M91),OR($C$14="",$C$14=H91),OR($C$15="",$C$15=I91)),1,0)))</f>
        <v>1</v>
      </c>
      <c r="P91" s="3">
        <f t="shared" si="7"/>
        <v>1</v>
      </c>
    </row>
    <row r="92" spans="1:16" ht="18.75" customHeight="1" x14ac:dyDescent="0.35">
      <c r="A92" s="166">
        <v>54304</v>
      </c>
      <c r="B92" s="167" t="s">
        <v>299</v>
      </c>
      <c r="C92" s="166" t="s">
        <v>297</v>
      </c>
      <c r="D92" s="168">
        <v>0.95</v>
      </c>
      <c r="E92" s="169">
        <v>5.5399999999999998E-2</v>
      </c>
      <c r="F92" s="170">
        <v>7.9103528000000006E-2</v>
      </c>
      <c r="G92" s="171">
        <v>0</v>
      </c>
      <c r="H92" s="166" t="s">
        <v>22</v>
      </c>
      <c r="I92" s="171">
        <v>0</v>
      </c>
      <c r="J92" s="166" t="s">
        <v>52</v>
      </c>
      <c r="K92" s="172" t="s">
        <v>283</v>
      </c>
      <c r="L92" s="158" t="s">
        <v>35</v>
      </c>
      <c r="M92" s="3">
        <v>2</v>
      </c>
      <c r="N92" s="3" t="s">
        <v>56</v>
      </c>
      <c r="O92" s="3">
        <f t="shared" ref="O92:O97" si="8">IF($C$11="More than or equal to",IF(AND(OR($C$8="",$C$8=L92),OR($C$9="",C92="Purchase &amp; Remortgage",$C$9=C92),OR($C$10="",$C$10=N92),OR($C$12="",$C$12&lt;=D92),OR($C$13="",$C$13=M92),OR($C$14="",$C$14=H92),OR($C$15="",$C$15=I92)),1,0),IF($C$11="Less than or equal to",IF(AND(OR($C$8="",$C$8=L92),OR($C$9="",C92="Purchase &amp; Remortgage",$C$9=C92),OR($C$10="",$C$10=N92),OR($C$12="",$C$12&gt;=D92),OR($C$13="",$C$13=M92),OR($C$14="",$C$14=H92),OR($C$15="",$C$15=I92)),1,0),IF(AND(OR($C$8="",$C$8=L92),OR($C$9="",C92="Purchase &amp; Remortgage",$C$9=C92),OR($C$10="",$C$10=N92),OR($C$12="",$C$12=D92),OR($C$13="",$C$13=M92),OR($C$14="",$C$14=H92),OR($C$15="",$C$15=I92)),1,0)))</f>
        <v>1</v>
      </c>
      <c r="P92" s="3">
        <f t="shared" si="7"/>
        <v>1</v>
      </c>
    </row>
    <row r="93" spans="1:16" ht="18.75" customHeight="1" x14ac:dyDescent="0.35">
      <c r="A93" s="159">
        <v>54302</v>
      </c>
      <c r="B93" s="160" t="s">
        <v>299</v>
      </c>
      <c r="C93" s="159" t="s">
        <v>297</v>
      </c>
      <c r="D93" s="161">
        <v>1.5</v>
      </c>
      <c r="E93" s="162">
        <v>6.7900000000000002E-2</v>
      </c>
      <c r="F93" s="163">
        <v>8.1272345999999995E-2</v>
      </c>
      <c r="G93" s="164">
        <v>0</v>
      </c>
      <c r="H93" s="159" t="s">
        <v>22</v>
      </c>
      <c r="I93" s="164">
        <v>0</v>
      </c>
      <c r="J93" s="159" t="s">
        <v>52</v>
      </c>
      <c r="K93" s="165" t="s">
        <v>283</v>
      </c>
      <c r="L93" s="158" t="s">
        <v>35</v>
      </c>
      <c r="M93" s="3">
        <v>2</v>
      </c>
      <c r="N93" s="3" t="s">
        <v>56</v>
      </c>
      <c r="O93" s="3">
        <f t="shared" si="8"/>
        <v>1</v>
      </c>
      <c r="P93" s="3">
        <f t="shared" si="7"/>
        <v>1</v>
      </c>
    </row>
    <row r="94" spans="1:16" ht="18.75" customHeight="1" x14ac:dyDescent="0.35">
      <c r="A94" s="166">
        <v>54306</v>
      </c>
      <c r="B94" s="167" t="s">
        <v>304</v>
      </c>
      <c r="C94" s="166" t="s">
        <v>297</v>
      </c>
      <c r="D94" s="168">
        <v>0.85</v>
      </c>
      <c r="E94" s="169">
        <v>5.2400000000000002E-2</v>
      </c>
      <c r="F94" s="170">
        <v>7.6912498999999995E-2</v>
      </c>
      <c r="G94" s="171">
        <v>0</v>
      </c>
      <c r="H94" s="166" t="s">
        <v>22</v>
      </c>
      <c r="I94" s="171">
        <v>0</v>
      </c>
      <c r="J94" s="166" t="s">
        <v>52</v>
      </c>
      <c r="K94" s="172" t="s">
        <v>285</v>
      </c>
      <c r="L94" s="158" t="s">
        <v>35</v>
      </c>
      <c r="M94" s="3">
        <v>3</v>
      </c>
      <c r="N94" s="3" t="s">
        <v>56</v>
      </c>
      <c r="O94" s="3">
        <f t="shared" si="8"/>
        <v>1</v>
      </c>
      <c r="P94" s="3">
        <f t="shared" si="7"/>
        <v>1</v>
      </c>
    </row>
    <row r="95" spans="1:16" ht="18.75" customHeight="1" x14ac:dyDescent="0.35">
      <c r="A95" s="159">
        <v>54307</v>
      </c>
      <c r="B95" s="160" t="s">
        <v>304</v>
      </c>
      <c r="C95" s="159" t="s">
        <v>297</v>
      </c>
      <c r="D95" s="161">
        <v>0.95</v>
      </c>
      <c r="E95" s="162">
        <v>5.5899999999999998E-2</v>
      </c>
      <c r="F95" s="163">
        <v>7.7754908999999997E-2</v>
      </c>
      <c r="G95" s="164">
        <v>0</v>
      </c>
      <c r="H95" s="159" t="s">
        <v>22</v>
      </c>
      <c r="I95" s="164">
        <v>0</v>
      </c>
      <c r="J95" s="159" t="s">
        <v>52</v>
      </c>
      <c r="K95" s="165" t="s">
        <v>285</v>
      </c>
      <c r="L95" s="158" t="s">
        <v>35</v>
      </c>
      <c r="M95" s="3">
        <v>3</v>
      </c>
      <c r="N95" s="3" t="s">
        <v>56</v>
      </c>
      <c r="O95" s="3">
        <f t="shared" si="8"/>
        <v>1</v>
      </c>
      <c r="P95" s="3">
        <f t="shared" si="7"/>
        <v>1</v>
      </c>
    </row>
    <row r="96" spans="1:16" ht="18.75" customHeight="1" x14ac:dyDescent="0.35">
      <c r="A96" s="166">
        <v>54308</v>
      </c>
      <c r="B96" s="167" t="s">
        <v>303</v>
      </c>
      <c r="C96" s="166" t="s">
        <v>297</v>
      </c>
      <c r="D96" s="168">
        <v>0.85</v>
      </c>
      <c r="E96" s="169">
        <v>4.2900000000000001E-2</v>
      </c>
      <c r="F96" s="170">
        <v>7.0634749999999996E-2</v>
      </c>
      <c r="G96" s="171">
        <v>0</v>
      </c>
      <c r="H96" s="166" t="s">
        <v>22</v>
      </c>
      <c r="I96" s="171">
        <v>0</v>
      </c>
      <c r="J96" s="166" t="s">
        <v>52</v>
      </c>
      <c r="K96" s="172" t="s">
        <v>284</v>
      </c>
      <c r="L96" s="158" t="s">
        <v>35</v>
      </c>
      <c r="M96" s="3">
        <v>5</v>
      </c>
      <c r="N96" s="3" t="s">
        <v>56</v>
      </c>
      <c r="O96" s="3">
        <f t="shared" si="8"/>
        <v>1</v>
      </c>
      <c r="P96" s="3">
        <f t="shared" si="7"/>
        <v>1</v>
      </c>
    </row>
    <row r="97" spans="1:16" ht="18.75" customHeight="1" thickBot="1" x14ac:dyDescent="0.4">
      <c r="A97" s="159">
        <v>54303</v>
      </c>
      <c r="B97" s="160" t="s">
        <v>303</v>
      </c>
      <c r="C97" s="159" t="s">
        <v>297</v>
      </c>
      <c r="D97" s="161">
        <v>0.95</v>
      </c>
      <c r="E97" s="162">
        <v>5.2900000000000003E-2</v>
      </c>
      <c r="F97" s="163">
        <v>7.4155227000000004E-2</v>
      </c>
      <c r="G97" s="164">
        <v>0</v>
      </c>
      <c r="H97" s="159" t="s">
        <v>22</v>
      </c>
      <c r="I97" s="164">
        <v>0</v>
      </c>
      <c r="J97" s="159" t="s">
        <v>52</v>
      </c>
      <c r="K97" s="165" t="s">
        <v>284</v>
      </c>
      <c r="L97" s="158" t="s">
        <v>35</v>
      </c>
      <c r="M97" s="3">
        <v>5</v>
      </c>
      <c r="N97" s="3" t="s">
        <v>56</v>
      </c>
      <c r="O97" s="3">
        <f t="shared" si="8"/>
        <v>1</v>
      </c>
      <c r="P97" s="3">
        <f t="shared" si="7"/>
        <v>1</v>
      </c>
    </row>
    <row r="98" spans="1:16" ht="18.75" customHeight="1" x14ac:dyDescent="0.35">
      <c r="A98" s="253" t="s">
        <v>44</v>
      </c>
      <c r="B98" s="253"/>
      <c r="C98" s="209" t="s">
        <v>214</v>
      </c>
      <c r="D98" s="210"/>
      <c r="E98" s="210"/>
      <c r="F98" s="210"/>
      <c r="G98" s="210"/>
      <c r="H98" s="210"/>
      <c r="I98" s="210"/>
      <c r="J98" s="210"/>
      <c r="K98" s="210"/>
      <c r="L98" s="1" t="s">
        <v>36</v>
      </c>
      <c r="M98" s="1">
        <v>0</v>
      </c>
      <c r="N98" s="1">
        <v>0</v>
      </c>
      <c r="O98" s="1">
        <f>IF(SUM(O99:O101)=0,0,1)</f>
        <v>1</v>
      </c>
      <c r="P98" s="1">
        <f>IF(SUM(P99:P101)=0,0,1)</f>
        <v>1</v>
      </c>
    </row>
    <row r="99" spans="1:16" ht="18.75" customHeight="1" x14ac:dyDescent="0.35">
      <c r="A99" s="159">
        <v>54311</v>
      </c>
      <c r="B99" s="160" t="s">
        <v>299</v>
      </c>
      <c r="C99" s="159" t="s">
        <v>297</v>
      </c>
      <c r="D99" s="161">
        <v>0.75</v>
      </c>
      <c r="E99" s="162">
        <v>5.4399999999999997E-2</v>
      </c>
      <c r="F99" s="163">
        <v>7.8933726999999995E-2</v>
      </c>
      <c r="G99" s="164">
        <v>0</v>
      </c>
      <c r="H99" s="159" t="s">
        <v>22</v>
      </c>
      <c r="I99" s="164">
        <v>0</v>
      </c>
      <c r="J99" s="159" t="s">
        <v>52</v>
      </c>
      <c r="K99" s="165" t="s">
        <v>283</v>
      </c>
      <c r="L99" s="158" t="s">
        <v>36</v>
      </c>
      <c r="M99" s="3">
        <v>2</v>
      </c>
      <c r="N99" s="3" t="s">
        <v>56</v>
      </c>
      <c r="O99" s="3">
        <f>IF($C$11="More than or equal to",IF(AND(OR($C$8="",$C$8=L99),OR($C$9="",C99="Purchase &amp; Remortgage",$C$9=C99),OR($C$10="",$C$10=N99),OR($C$12="",$C$12&lt;=D99),OR($C$13="",$C$13=M99),OR($C$14="",$C$14=H99),OR($C$15="",$C$15=I99)),1,0),IF($C$11="Less than or equal to",IF(AND(OR($C$8="",$C$8=L99),OR($C$9="",C99="Purchase &amp; Remortgage",$C$9=C99),OR($C$10="",$C$10=N99),OR($C$12="",$C$12&gt;=D99),OR($C$13="",$C$13=M99),OR($C$14="",$C$14=H99),OR($C$15="",$C$15=I99)),1,0),IF(AND(OR($C$8="",$C$8=L99),OR($C$9="",C99="Purchase &amp; Remortgage",$C$9=C99),OR($C$10="",$C$10=N99),OR($C$12="",$C$12=D99),OR($C$13="",$C$13=M99),OR($C$14="",$C$14=H99),OR($C$15="",$C$15=I99)),1,0)))</f>
        <v>1</v>
      </c>
      <c r="P99" s="3">
        <f t="shared" si="7"/>
        <v>1</v>
      </c>
    </row>
    <row r="100" spans="1:16" ht="18.75" customHeight="1" x14ac:dyDescent="0.35">
      <c r="A100" s="166">
        <v>54310</v>
      </c>
      <c r="B100" s="167" t="s">
        <v>299</v>
      </c>
      <c r="C100" s="166" t="s">
        <v>297</v>
      </c>
      <c r="D100" s="168">
        <v>0.85</v>
      </c>
      <c r="E100" s="169">
        <v>5.5399999999999998E-2</v>
      </c>
      <c r="F100" s="170">
        <v>7.9104313999999995E-2</v>
      </c>
      <c r="G100" s="171">
        <v>0</v>
      </c>
      <c r="H100" s="166" t="s">
        <v>22</v>
      </c>
      <c r="I100" s="171">
        <v>0</v>
      </c>
      <c r="J100" s="166" t="s">
        <v>52</v>
      </c>
      <c r="K100" s="172" t="s">
        <v>283</v>
      </c>
      <c r="L100" s="158" t="s">
        <v>36</v>
      </c>
      <c r="M100" s="3">
        <v>2</v>
      </c>
      <c r="N100" s="3" t="s">
        <v>56</v>
      </c>
      <c r="O100" s="3">
        <f t="shared" ref="O100:O101" si="9">IF($C$11="More than or equal to",IF(AND(OR($C$8="",$C$8=L100),OR($C$9="",C100="Purchase &amp; Remortgage",$C$9=C100),OR($C$10="",$C$10=N100),OR($C$12="",$C$12&lt;=D100),OR($C$13="",$C$13=M100),OR($C$14="",$C$14=H100),OR($C$15="",$C$15=I100)),1,0),IF($C$11="Less than or equal to",IF(AND(OR($C$8="",$C$8=L100),OR($C$9="",C100="Purchase &amp; Remortgage",$C$9=C100),OR($C$10="",$C$10=N100),OR($C$12="",$C$12&gt;=D100),OR($C$13="",$C$13=M100),OR($C$14="",$C$14=H100),OR($C$15="",$C$15=I100)),1,0),IF(AND(OR($C$8="",$C$8=L100),OR($C$9="",C100="Purchase &amp; Remortgage",$C$9=C100),OR($C$10="",$C$10=N100),OR($C$12="",$C$12=D100),OR($C$13="",$C$13=M100),OR($C$14="",$C$14=H100),OR($C$15="",$C$15=I100)),1,0)))</f>
        <v>1</v>
      </c>
      <c r="P100" s="3">
        <f t="shared" si="7"/>
        <v>1</v>
      </c>
    </row>
    <row r="101" spans="1:16" ht="18.75" customHeight="1" thickBot="1" x14ac:dyDescent="0.4">
      <c r="A101" s="159">
        <v>54309</v>
      </c>
      <c r="B101" s="160" t="s">
        <v>299</v>
      </c>
      <c r="C101" s="159" t="s">
        <v>297</v>
      </c>
      <c r="D101" s="161">
        <v>1.25</v>
      </c>
      <c r="E101" s="162">
        <v>6.7900000000000002E-2</v>
      </c>
      <c r="F101" s="163">
        <v>8.1272875999999994E-2</v>
      </c>
      <c r="G101" s="164">
        <v>0</v>
      </c>
      <c r="H101" s="159" t="s">
        <v>22</v>
      </c>
      <c r="I101" s="164">
        <v>0</v>
      </c>
      <c r="J101" s="159" t="s">
        <v>52</v>
      </c>
      <c r="K101" s="165" t="s">
        <v>283</v>
      </c>
      <c r="L101" s="158" t="s">
        <v>36</v>
      </c>
      <c r="M101" s="3">
        <v>2</v>
      </c>
      <c r="N101" s="3" t="s">
        <v>56</v>
      </c>
      <c r="O101" s="3">
        <f t="shared" si="9"/>
        <v>1</v>
      </c>
      <c r="P101" s="3">
        <f t="shared" si="7"/>
        <v>1</v>
      </c>
    </row>
    <row r="102" spans="1:16" ht="18.75" customHeight="1" x14ac:dyDescent="0.35">
      <c r="A102" s="253" t="s">
        <v>46</v>
      </c>
      <c r="B102" s="253"/>
      <c r="C102" s="209" t="s">
        <v>214</v>
      </c>
      <c r="D102" s="210"/>
      <c r="E102" s="210"/>
      <c r="F102" s="210"/>
      <c r="G102" s="210"/>
      <c r="H102" s="210"/>
      <c r="I102" s="210"/>
      <c r="J102" s="210"/>
      <c r="K102" s="210"/>
      <c r="L102" s="1" t="s">
        <v>47</v>
      </c>
      <c r="M102" s="1">
        <v>0</v>
      </c>
      <c r="N102" s="1">
        <v>0</v>
      </c>
      <c r="O102" s="1">
        <f>IF(SUM(O103:O104)=0,0,1)</f>
        <v>1</v>
      </c>
      <c r="P102" s="1">
        <f>IF(SUM(P103:P104)=0,0,1)</f>
        <v>1</v>
      </c>
    </row>
    <row r="103" spans="1:16" ht="18.75" customHeight="1" x14ac:dyDescent="0.35">
      <c r="A103" s="159">
        <v>54312</v>
      </c>
      <c r="B103" s="160" t="s">
        <v>299</v>
      </c>
      <c r="C103" s="159" t="s">
        <v>297</v>
      </c>
      <c r="D103" s="161">
        <v>0.75</v>
      </c>
      <c r="E103" s="162">
        <v>5.4399999999999997E-2</v>
      </c>
      <c r="F103" s="163">
        <v>7.8933726999999995E-2</v>
      </c>
      <c r="G103" s="164">
        <v>0</v>
      </c>
      <c r="H103" s="159" t="s">
        <v>22</v>
      </c>
      <c r="I103" s="164">
        <v>0</v>
      </c>
      <c r="J103" s="159" t="s">
        <v>52</v>
      </c>
      <c r="K103" s="165" t="s">
        <v>283</v>
      </c>
      <c r="L103" s="158" t="s">
        <v>47</v>
      </c>
      <c r="M103" s="3">
        <v>2</v>
      </c>
      <c r="N103" s="3" t="s">
        <v>56</v>
      </c>
      <c r="O103" s="3">
        <f>IF($C$11="More than or equal to",IF(AND(OR($C$8="",$C$8=L103),OR($C$9="",C103="Purchase &amp; Remortgage",$C$9=C103),OR($C$10="",$C$10=N103),OR($C$12="",$C$12&lt;=D103),OR($C$13="",$C$13=M103),OR($C$14="",$C$14=H103),OR($C$15="",$C$15=I103)),1,0),IF($C$11="Less than or equal to",IF(AND(OR($C$8="",$C$8=L103),OR($C$9="",C103="Purchase &amp; Remortgage",$C$9=C103),OR($C$10="",$C$10=N103),OR($C$12="",$C$12&gt;=D103),OR($C$13="",$C$13=M103),OR($C$14="",$C$14=H103),OR($C$15="",$C$15=I103)),1,0),IF(AND(OR($C$8="",$C$8=L103),OR($C$9="",C103="Purchase &amp; Remortgage",$C$9=C103),OR($C$10="",$C$10=N103),OR($C$12="",$C$12=D103),OR($C$13="",$C$13=M103),OR($C$14="",$C$14=H103),OR($C$15="",$C$15=I103)),1,0)))</f>
        <v>1</v>
      </c>
      <c r="P103" s="3">
        <f t="shared" ref="P103:P104" si="10">IF(A103=0,0,1)</f>
        <v>1</v>
      </c>
    </row>
    <row r="104" spans="1:16" ht="18.75" customHeight="1" thickBot="1" x14ac:dyDescent="0.4">
      <c r="A104" s="166">
        <v>54313</v>
      </c>
      <c r="B104" s="167" t="s">
        <v>299</v>
      </c>
      <c r="C104" s="166" t="s">
        <v>297</v>
      </c>
      <c r="D104" s="168">
        <v>0.85</v>
      </c>
      <c r="E104" s="169">
        <v>5.5399999999999998E-2</v>
      </c>
      <c r="F104" s="170">
        <v>7.9104313999999995E-2</v>
      </c>
      <c r="G104" s="171">
        <v>0</v>
      </c>
      <c r="H104" s="166" t="s">
        <v>22</v>
      </c>
      <c r="I104" s="171">
        <v>0</v>
      </c>
      <c r="J104" s="166" t="s">
        <v>52</v>
      </c>
      <c r="K104" s="172" t="s">
        <v>283</v>
      </c>
      <c r="L104" s="158" t="s">
        <v>47</v>
      </c>
      <c r="M104" s="3">
        <v>2</v>
      </c>
      <c r="N104" s="3" t="s">
        <v>56</v>
      </c>
      <c r="O104" s="3">
        <f t="shared" ref="O104" si="11">IF($C$11="More than or equal to",IF(AND(OR($C$8="",$C$8=L104),OR($C$9="",C104="Purchase &amp; Remortgage",$C$9=C104),OR($C$10="",$C$10=N104),OR($C$12="",$C$12&lt;=D104),OR($C$13="",$C$13=M104),OR($C$14="",$C$14=H104),OR($C$15="",$C$15=I104)),1,0),IF($C$11="Less than or equal to",IF(AND(OR($C$8="",$C$8=L104),OR($C$9="",C104="Purchase &amp; Remortgage",$C$9=C104),OR($C$10="",$C$10=N104),OR($C$12="",$C$12&gt;=D104),OR($C$13="",$C$13=M104),OR($C$14="",$C$14=H104),OR($C$15="",$C$15=I104)),1,0),IF(AND(OR($C$8="",$C$8=L104),OR($C$9="",C104="Purchase &amp; Remortgage",$C$9=C104),OR($C$10="",$C$10=N104),OR($C$12="",$C$12=D104),OR($C$13="",$C$13=M104),OR($C$14="",$C$14=H104),OR($C$15="",$C$15=I104)),1,0)))</f>
        <v>1</v>
      </c>
      <c r="P104" s="3">
        <f t="shared" si="10"/>
        <v>1</v>
      </c>
    </row>
    <row r="105" spans="1:16" ht="18.75" customHeight="1" x14ac:dyDescent="0.35">
      <c r="A105" s="253" t="s">
        <v>88</v>
      </c>
      <c r="B105" s="253"/>
      <c r="C105" s="209" t="s">
        <v>214</v>
      </c>
      <c r="D105" s="210"/>
      <c r="E105" s="210"/>
      <c r="F105" s="210"/>
      <c r="G105" s="210"/>
      <c r="H105" s="210"/>
      <c r="I105" s="210"/>
      <c r="J105" s="210"/>
      <c r="K105" s="210"/>
      <c r="L105" s="1" t="s">
        <v>87</v>
      </c>
      <c r="M105" s="1">
        <v>0</v>
      </c>
      <c r="N105" s="1">
        <v>0</v>
      </c>
      <c r="O105" s="1">
        <f>IF(SUM(O106:O109)=0,0,1)</f>
        <v>1</v>
      </c>
      <c r="P105" s="1">
        <f>IF(SUM(P106:P109)=0,0,1)</f>
        <v>1</v>
      </c>
    </row>
    <row r="106" spans="1:16" ht="18.75" customHeight="1" x14ac:dyDescent="0.35">
      <c r="A106" s="166">
        <v>54201</v>
      </c>
      <c r="B106" s="167" t="s">
        <v>298</v>
      </c>
      <c r="C106" s="166" t="s">
        <v>297</v>
      </c>
      <c r="D106" s="168">
        <v>0.55000000000000004</v>
      </c>
      <c r="E106" s="169">
        <v>5.0999999999999997E-2</v>
      </c>
      <c r="F106" s="170">
        <v>8.1475216000000003E-2</v>
      </c>
      <c r="G106" s="171">
        <v>999</v>
      </c>
      <c r="H106" s="166" t="s">
        <v>22</v>
      </c>
      <c r="I106" s="171">
        <v>0</v>
      </c>
      <c r="J106" s="166" t="s">
        <v>52</v>
      </c>
      <c r="K106" s="172" t="s">
        <v>283</v>
      </c>
      <c r="L106" s="158" t="s">
        <v>87</v>
      </c>
      <c r="M106" s="3">
        <v>2</v>
      </c>
      <c r="N106" s="3" t="s">
        <v>56</v>
      </c>
      <c r="O106" s="3">
        <f>IF($C$11="More than or equal to",IF(AND(OR($C$8="",$C$8=L106),OR($C$9="",C106="Purchase &amp; Remortgage",$C$9=C106),OR($C$10="",$C$10=N106),OR($C$12="",$C$12&lt;=D106),OR($C$13="",$C$13=M106),OR($C$14="",$C$14=H106),OR($C$15="",$C$15=I106)),1,0),IF($C$11="Less than or equal to",IF(AND(OR($C$8="",$C$8=L106),OR($C$9="",C106="Purchase &amp; Remortgage",$C$9=C106),OR($C$10="",$C$10=N106),OR($C$12="",$C$12&gt;=D106),OR($C$13="",$C$13=M106),OR($C$14="",$C$14=H106),OR($C$15="",$C$15=I106)),1,0),IF(AND(OR($C$8="",$C$8=L106),OR($C$9="",C106="Purchase &amp; Remortgage",$C$9=C106),OR($C$10="",$C$10=N106),OR($C$12="",$C$12=D106),OR($C$13="",$C$13=M106),OR($C$14="",$C$14=H106),OR($C$15="",$C$15=I106)),1,0)))</f>
        <v>1</v>
      </c>
      <c r="P106" s="3">
        <f>IF(A106=0,0,1)</f>
        <v>1</v>
      </c>
    </row>
    <row r="107" spans="1:16" ht="18.75" customHeight="1" x14ac:dyDescent="0.35">
      <c r="A107" s="159">
        <v>54200</v>
      </c>
      <c r="B107" s="160" t="s">
        <v>298</v>
      </c>
      <c r="C107" s="159" t="s">
        <v>297</v>
      </c>
      <c r="D107" s="161">
        <v>0.6</v>
      </c>
      <c r="E107" s="162">
        <v>5.3900000000000003E-2</v>
      </c>
      <c r="F107" s="163">
        <v>8.1991807999999999E-2</v>
      </c>
      <c r="G107" s="164">
        <v>999</v>
      </c>
      <c r="H107" s="159" t="s">
        <v>22</v>
      </c>
      <c r="I107" s="164">
        <v>0</v>
      </c>
      <c r="J107" s="159" t="s">
        <v>52</v>
      </c>
      <c r="K107" s="165" t="s">
        <v>283</v>
      </c>
      <c r="L107" s="158" t="s">
        <v>87</v>
      </c>
      <c r="M107" s="3">
        <v>2</v>
      </c>
      <c r="N107" s="3" t="s">
        <v>56</v>
      </c>
      <c r="O107" s="3">
        <f t="shared" ref="O107:O109" si="12">IF($C$11="More than or equal to",IF(AND(OR($C$8="",$C$8=L107),OR($C$9="",C107="Purchase &amp; Remortgage",$C$9=C107),OR($C$10="",$C$10=N107),OR($C$12="",$C$12&lt;=D107),OR($C$13="",$C$13=M107),OR($C$14="",$C$14=H107),OR($C$15="",$C$15=I107)),1,0),IF($C$11="Less than or equal to",IF(AND(OR($C$8="",$C$8=L107),OR($C$9="",C107="Purchase &amp; Remortgage",$C$9=C107),OR($C$10="",$C$10=N107),OR($C$12="",$C$12&gt;=D107),OR($C$13="",$C$13=M107),OR($C$14="",$C$14=H107),OR($C$15="",$C$15=I107)),1,0),IF(AND(OR($C$8="",$C$8=L107),OR($C$9="",C107="Purchase &amp; Remortgage",$C$9=C107),OR($C$10="",$C$10=N107),OR($C$12="",$C$12=D107),OR($C$13="",$C$13=M107),OR($C$14="",$C$14=H107),OR($C$15="",$C$15=I107)),1,0)))</f>
        <v>1</v>
      </c>
      <c r="P107" s="3">
        <f t="shared" ref="P107:P109" si="13">IF(A107=0,0,1)</f>
        <v>1</v>
      </c>
    </row>
    <row r="108" spans="1:16" ht="18.75" customHeight="1" x14ac:dyDescent="0.35">
      <c r="A108" s="166">
        <v>54203</v>
      </c>
      <c r="B108" s="167" t="s">
        <v>302</v>
      </c>
      <c r="C108" s="166" t="s">
        <v>297</v>
      </c>
      <c r="D108" s="168">
        <v>0.55000000000000004</v>
      </c>
      <c r="E108" s="169">
        <v>5.1900000000000002E-2</v>
      </c>
      <c r="F108" s="170">
        <v>7.4873222000000003E-2</v>
      </c>
      <c r="G108" s="171">
        <v>999</v>
      </c>
      <c r="H108" s="166" t="s">
        <v>22</v>
      </c>
      <c r="I108" s="171">
        <v>0</v>
      </c>
      <c r="J108" s="166" t="s">
        <v>52</v>
      </c>
      <c r="K108" s="172" t="s">
        <v>284</v>
      </c>
      <c r="L108" s="158" t="s">
        <v>87</v>
      </c>
      <c r="M108" s="3">
        <v>5</v>
      </c>
      <c r="N108" s="3" t="s">
        <v>56</v>
      </c>
      <c r="O108" s="3">
        <f t="shared" si="12"/>
        <v>1</v>
      </c>
      <c r="P108" s="3">
        <f t="shared" si="13"/>
        <v>1</v>
      </c>
    </row>
    <row r="109" spans="1:16" ht="18.75" customHeight="1" thickBot="1" x14ac:dyDescent="0.4">
      <c r="A109" s="159">
        <v>54202</v>
      </c>
      <c r="B109" s="160" t="s">
        <v>303</v>
      </c>
      <c r="C109" s="159" t="s">
        <v>297</v>
      </c>
      <c r="D109" s="161">
        <v>0.55000000000000004</v>
      </c>
      <c r="E109" s="162">
        <v>5.3400000000000003E-2</v>
      </c>
      <c r="F109" s="163">
        <v>7.4335182999999999E-2</v>
      </c>
      <c r="G109" s="164">
        <v>0</v>
      </c>
      <c r="H109" s="159" t="s">
        <v>22</v>
      </c>
      <c r="I109" s="164">
        <v>0</v>
      </c>
      <c r="J109" s="159" t="s">
        <v>52</v>
      </c>
      <c r="K109" s="165" t="s">
        <v>284</v>
      </c>
      <c r="L109" s="158" t="s">
        <v>87</v>
      </c>
      <c r="M109" s="3">
        <v>5</v>
      </c>
      <c r="N109" s="3" t="s">
        <v>56</v>
      </c>
      <c r="O109" s="3">
        <f t="shared" si="12"/>
        <v>1</v>
      </c>
      <c r="P109" s="3">
        <f t="shared" si="13"/>
        <v>1</v>
      </c>
    </row>
    <row r="110" spans="1:16" ht="18.75" customHeight="1" x14ac:dyDescent="0.35">
      <c r="A110" s="253" t="s">
        <v>91</v>
      </c>
      <c r="B110" s="253"/>
      <c r="C110" s="209" t="s">
        <v>214</v>
      </c>
      <c r="D110" s="210"/>
      <c r="E110" s="210"/>
      <c r="F110" s="210"/>
      <c r="G110" s="210"/>
      <c r="H110" s="210"/>
      <c r="I110" s="210"/>
      <c r="J110" s="210"/>
      <c r="K110" s="210"/>
      <c r="L110" s="1" t="s">
        <v>89</v>
      </c>
      <c r="M110" s="1">
        <v>0</v>
      </c>
      <c r="N110" s="1">
        <v>0</v>
      </c>
      <c r="O110" s="1">
        <f>IF(SUM(O111:O115)=0,0,1)</f>
        <v>1</v>
      </c>
      <c r="P110" s="1">
        <f>IF(SUM(P111:P115)=0,0,1)</f>
        <v>1</v>
      </c>
    </row>
    <row r="111" spans="1:16" ht="18.75" customHeight="1" x14ac:dyDescent="0.35">
      <c r="A111" s="159">
        <v>54316</v>
      </c>
      <c r="B111" s="160" t="s">
        <v>298</v>
      </c>
      <c r="C111" s="159" t="s">
        <v>297</v>
      </c>
      <c r="D111" s="161">
        <v>0.75</v>
      </c>
      <c r="E111" s="162">
        <v>6.2399999999999997E-2</v>
      </c>
      <c r="F111" s="163">
        <v>8.2787534999999995E-2</v>
      </c>
      <c r="G111" s="164">
        <v>999</v>
      </c>
      <c r="H111" s="159" t="s">
        <v>22</v>
      </c>
      <c r="I111" s="164">
        <v>0</v>
      </c>
      <c r="J111" s="159" t="s">
        <v>52</v>
      </c>
      <c r="K111" s="165" t="s">
        <v>283</v>
      </c>
      <c r="L111" s="158" t="s">
        <v>89</v>
      </c>
      <c r="M111" s="3">
        <v>2</v>
      </c>
      <c r="N111" s="3" t="s">
        <v>56</v>
      </c>
      <c r="O111" s="3">
        <f>IF($C$11="More than or equal to",IF(AND(OR($C$8="",$C$8=L111),OR($C$9="",C111="Purchase &amp; Remortgage",$C$9=C111),OR($C$10="",$C$10=N111),OR($C$12="",$C$12&lt;=D111),OR($C$13="",$C$13=M111),OR($C$14="",$C$14=H111),OR($C$15="",$C$15=I111)),1,0),IF($C$11="Less than or equal to",IF(AND(OR($C$8="",$C$8=L111),OR($C$9="",C111="Purchase &amp; Remortgage",$C$9=C111),OR($C$10="",$C$10=N111),OR($C$12="",$C$12&gt;=D111),OR($C$13="",$C$13=M111),OR($C$14="",$C$14=H111),OR($C$15="",$C$15=I111)),1,0),IF(AND(OR($C$8="",$C$8=L111),OR($C$9="",C111="Purchase &amp; Remortgage",$C$9=C111),OR($C$10="",$C$10=N111),OR($C$12="",$C$12=D111),OR($C$13="",$C$13=M111),OR($C$14="",$C$14=H111),OR($C$15="",$C$15=I111)),1,0)))</f>
        <v>1</v>
      </c>
      <c r="P111" s="3">
        <f>IF(A111=0,0,1)</f>
        <v>1</v>
      </c>
    </row>
    <row r="112" spans="1:16" ht="18.75" customHeight="1" x14ac:dyDescent="0.35">
      <c r="A112" s="166">
        <v>54318</v>
      </c>
      <c r="B112" s="167" t="s">
        <v>299</v>
      </c>
      <c r="C112" s="166" t="s">
        <v>297</v>
      </c>
      <c r="D112" s="168">
        <v>0.75</v>
      </c>
      <c r="E112" s="169">
        <v>6.54E-2</v>
      </c>
      <c r="F112" s="170">
        <v>8.2882235999999998E-2</v>
      </c>
      <c r="G112" s="171">
        <v>0</v>
      </c>
      <c r="H112" s="166" t="s">
        <v>22</v>
      </c>
      <c r="I112" s="171">
        <v>0</v>
      </c>
      <c r="J112" s="166" t="s">
        <v>52</v>
      </c>
      <c r="K112" s="172" t="s">
        <v>283</v>
      </c>
      <c r="L112" s="158" t="s">
        <v>89</v>
      </c>
      <c r="M112" s="3">
        <v>2</v>
      </c>
      <c r="N112" s="3" t="s">
        <v>56</v>
      </c>
      <c r="O112" s="3">
        <f t="shared" ref="O112:O121" si="14">IF($C$11="More than or equal to",IF(AND(OR($C$8="",$C$8=L112),OR($C$9="",C112="Purchase &amp; Remortgage",$C$9=C112),OR($C$10="",$C$10=N112),OR($C$12="",$C$12&lt;=D112),OR($C$13="",$C$13=M112),OR($C$14="",$C$14=H112),OR($C$15="",$C$15=I112)),1,0),IF($C$11="Less than or equal to",IF(AND(OR($C$8="",$C$8=L112),OR($C$9="",C112="Purchase &amp; Remortgage",$C$9=C112),OR($C$10="",$C$10=N112),OR($C$12="",$C$12&gt;=D112),OR($C$13="",$C$13=M112),OR($C$14="",$C$14=H112),OR($C$15="",$C$15=I112)),1,0),IF(AND(OR($C$8="",$C$8=L112),OR($C$9="",C112="Purchase &amp; Remortgage",$C$9=C112),OR($C$10="",$C$10=N112),OR($C$12="",$C$12=D112),OR($C$13="",$C$13=M112),OR($C$14="",$C$14=H112),OR($C$15="",$C$15=I112)),1,0)))</f>
        <v>1</v>
      </c>
      <c r="P112" s="3">
        <f t="shared" ref="P112:P115" si="15">IF(A112=0,0,1)</f>
        <v>1</v>
      </c>
    </row>
    <row r="113" spans="1:16" ht="18.75" customHeight="1" x14ac:dyDescent="0.35">
      <c r="A113" s="159">
        <v>54315</v>
      </c>
      <c r="B113" s="160" t="s">
        <v>299</v>
      </c>
      <c r="C113" s="159" t="s">
        <v>297</v>
      </c>
      <c r="D113" s="161">
        <v>1.25</v>
      </c>
      <c r="E113" s="162">
        <v>7.5899999999999995E-2</v>
      </c>
      <c r="F113" s="163">
        <v>8.4766320000000006E-2</v>
      </c>
      <c r="G113" s="164">
        <v>0</v>
      </c>
      <c r="H113" s="159" t="s">
        <v>22</v>
      </c>
      <c r="I113" s="164">
        <v>0</v>
      </c>
      <c r="J113" s="159" t="s">
        <v>52</v>
      </c>
      <c r="K113" s="165" t="s">
        <v>283</v>
      </c>
      <c r="L113" s="158" t="s">
        <v>89</v>
      </c>
      <c r="M113" s="3">
        <v>2</v>
      </c>
      <c r="N113" s="3" t="s">
        <v>56</v>
      </c>
      <c r="O113" s="3">
        <f t="shared" si="14"/>
        <v>1</v>
      </c>
      <c r="P113" s="3">
        <f t="shared" si="15"/>
        <v>1</v>
      </c>
    </row>
    <row r="114" spans="1:16" ht="18.75" customHeight="1" x14ac:dyDescent="0.35">
      <c r="A114" s="166">
        <v>54317</v>
      </c>
      <c r="B114" s="167" t="s">
        <v>302</v>
      </c>
      <c r="C114" s="166" t="s">
        <v>297</v>
      </c>
      <c r="D114" s="168">
        <v>0.75</v>
      </c>
      <c r="E114" s="169">
        <v>5.79E-2</v>
      </c>
      <c r="F114" s="170">
        <v>7.8265314000000002E-2</v>
      </c>
      <c r="G114" s="171">
        <v>999</v>
      </c>
      <c r="H114" s="166" t="s">
        <v>22</v>
      </c>
      <c r="I114" s="171">
        <v>0</v>
      </c>
      <c r="J114" s="166" t="s">
        <v>52</v>
      </c>
      <c r="K114" s="172" t="s">
        <v>284</v>
      </c>
      <c r="L114" s="158" t="s">
        <v>89</v>
      </c>
      <c r="M114" s="3">
        <v>5</v>
      </c>
      <c r="N114" s="3" t="s">
        <v>56</v>
      </c>
      <c r="O114" s="3">
        <f t="shared" si="14"/>
        <v>1</v>
      </c>
      <c r="P114" s="3">
        <f t="shared" si="15"/>
        <v>1</v>
      </c>
    </row>
    <row r="115" spans="1:16" ht="18.75" customHeight="1" thickBot="1" x14ac:dyDescent="0.4">
      <c r="A115" s="159">
        <v>54314</v>
      </c>
      <c r="B115" s="160" t="s">
        <v>303</v>
      </c>
      <c r="C115" s="159" t="s">
        <v>297</v>
      </c>
      <c r="D115" s="161">
        <v>0.75</v>
      </c>
      <c r="E115" s="162">
        <v>5.9900000000000002E-2</v>
      </c>
      <c r="F115" s="163">
        <v>7.8638565999999993E-2</v>
      </c>
      <c r="G115" s="164">
        <v>0</v>
      </c>
      <c r="H115" s="159" t="s">
        <v>22</v>
      </c>
      <c r="I115" s="164">
        <v>0</v>
      </c>
      <c r="J115" s="159" t="s">
        <v>52</v>
      </c>
      <c r="K115" s="165" t="s">
        <v>284</v>
      </c>
      <c r="L115" s="158" t="s">
        <v>89</v>
      </c>
      <c r="M115" s="3">
        <v>5</v>
      </c>
      <c r="N115" s="3" t="s">
        <v>56</v>
      </c>
      <c r="O115" s="3">
        <f t="shared" si="14"/>
        <v>1</v>
      </c>
      <c r="P115" s="3">
        <f t="shared" si="15"/>
        <v>1</v>
      </c>
    </row>
    <row r="116" spans="1:16" ht="18.75" customHeight="1" x14ac:dyDescent="0.35">
      <c r="A116" s="253" t="s">
        <v>92</v>
      </c>
      <c r="B116" s="253"/>
      <c r="C116" s="209" t="s">
        <v>214</v>
      </c>
      <c r="D116" s="210"/>
      <c r="E116" s="210"/>
      <c r="F116" s="210"/>
      <c r="G116" s="210"/>
      <c r="H116" s="210"/>
      <c r="I116" s="210"/>
      <c r="J116" s="210"/>
      <c r="K116" s="210"/>
      <c r="L116" s="1" t="s">
        <v>90</v>
      </c>
      <c r="M116" s="1">
        <v>0</v>
      </c>
      <c r="N116" s="1">
        <v>0</v>
      </c>
      <c r="O116" s="1">
        <f>IF(SUM(O117:O121)=0,0,1)</f>
        <v>1</v>
      </c>
      <c r="P116" s="1">
        <f>IF(SUM(P117:P121)=0,0,1)</f>
        <v>1</v>
      </c>
    </row>
    <row r="117" spans="1:16" ht="18.75" customHeight="1" x14ac:dyDescent="0.35">
      <c r="A117" s="159">
        <v>54321</v>
      </c>
      <c r="B117" s="160" t="s">
        <v>298</v>
      </c>
      <c r="C117" s="159" t="s">
        <v>297</v>
      </c>
      <c r="D117" s="161">
        <v>0.75</v>
      </c>
      <c r="E117" s="162">
        <v>6.8400000000000002E-2</v>
      </c>
      <c r="F117" s="163">
        <v>8.3856612999999997E-2</v>
      </c>
      <c r="G117" s="164">
        <v>999</v>
      </c>
      <c r="H117" s="159" t="s">
        <v>22</v>
      </c>
      <c r="I117" s="164">
        <v>0</v>
      </c>
      <c r="J117" s="159" t="s">
        <v>52</v>
      </c>
      <c r="K117" s="165" t="s">
        <v>283</v>
      </c>
      <c r="L117" s="158" t="s">
        <v>90</v>
      </c>
      <c r="M117" s="3">
        <v>2</v>
      </c>
      <c r="N117" s="3" t="s">
        <v>56</v>
      </c>
      <c r="O117" s="3">
        <f t="shared" si="14"/>
        <v>1</v>
      </c>
      <c r="P117" s="3">
        <f>IF(A117=0,0,1)</f>
        <v>1</v>
      </c>
    </row>
    <row r="118" spans="1:16" ht="18.75" customHeight="1" x14ac:dyDescent="0.35">
      <c r="A118" s="166">
        <v>54322</v>
      </c>
      <c r="B118" s="167" t="s">
        <v>299</v>
      </c>
      <c r="C118" s="166" t="s">
        <v>297</v>
      </c>
      <c r="D118" s="168">
        <v>0.75</v>
      </c>
      <c r="E118" s="169">
        <v>7.0400000000000004E-2</v>
      </c>
      <c r="F118" s="170">
        <v>8.3772953999999997E-2</v>
      </c>
      <c r="G118" s="171">
        <v>0</v>
      </c>
      <c r="H118" s="166" t="s">
        <v>22</v>
      </c>
      <c r="I118" s="171">
        <v>0</v>
      </c>
      <c r="J118" s="166" t="s">
        <v>52</v>
      </c>
      <c r="K118" s="172" t="s">
        <v>283</v>
      </c>
      <c r="L118" s="158" t="s">
        <v>90</v>
      </c>
      <c r="M118" s="3">
        <v>2</v>
      </c>
      <c r="N118" s="3" t="s">
        <v>56</v>
      </c>
      <c r="O118" s="3">
        <f t="shared" si="14"/>
        <v>1</v>
      </c>
      <c r="P118" s="3">
        <f t="shared" ref="P118:P121" si="16">IF(A118=0,0,1)</f>
        <v>1</v>
      </c>
    </row>
    <row r="119" spans="1:16" ht="18.75" customHeight="1" x14ac:dyDescent="0.35">
      <c r="A119" s="159">
        <v>54319</v>
      </c>
      <c r="B119" s="160" t="s">
        <v>299</v>
      </c>
      <c r="C119" s="159" t="s">
        <v>297</v>
      </c>
      <c r="D119" s="161">
        <v>1.25</v>
      </c>
      <c r="E119" s="162">
        <v>7.6899999999999996E-2</v>
      </c>
      <c r="F119" s="163">
        <v>8.4948575999999998E-2</v>
      </c>
      <c r="G119" s="164">
        <v>0</v>
      </c>
      <c r="H119" s="159" t="s">
        <v>22</v>
      </c>
      <c r="I119" s="164">
        <v>0</v>
      </c>
      <c r="J119" s="159" t="s">
        <v>52</v>
      </c>
      <c r="K119" s="165" t="s">
        <v>283</v>
      </c>
      <c r="L119" s="158" t="s">
        <v>90</v>
      </c>
      <c r="M119" s="3">
        <v>2</v>
      </c>
      <c r="N119" s="3" t="s">
        <v>56</v>
      </c>
      <c r="O119" s="3">
        <f t="shared" si="14"/>
        <v>1</v>
      </c>
      <c r="P119" s="3">
        <f t="shared" si="16"/>
        <v>1</v>
      </c>
    </row>
    <row r="120" spans="1:16" ht="18.75" customHeight="1" x14ac:dyDescent="0.35">
      <c r="A120" s="166">
        <v>54320</v>
      </c>
      <c r="B120" s="167" t="s">
        <v>302</v>
      </c>
      <c r="C120" s="166" t="s">
        <v>297</v>
      </c>
      <c r="D120" s="168">
        <v>0.75</v>
      </c>
      <c r="E120" s="169">
        <v>6.3399999999999998E-2</v>
      </c>
      <c r="F120" s="170">
        <v>8.0382316999999995E-2</v>
      </c>
      <c r="G120" s="171">
        <v>999</v>
      </c>
      <c r="H120" s="166" t="s">
        <v>22</v>
      </c>
      <c r="I120" s="171">
        <v>0</v>
      </c>
      <c r="J120" s="166" t="s">
        <v>52</v>
      </c>
      <c r="K120" s="172" t="s">
        <v>284</v>
      </c>
      <c r="L120" s="158" t="s">
        <v>90</v>
      </c>
      <c r="M120" s="3">
        <v>5</v>
      </c>
      <c r="N120" s="3" t="s">
        <v>56</v>
      </c>
      <c r="O120" s="3">
        <f t="shared" si="14"/>
        <v>1</v>
      </c>
      <c r="P120" s="3">
        <f t="shared" si="16"/>
        <v>1</v>
      </c>
    </row>
    <row r="121" spans="1:16" ht="18.75" customHeight="1" x14ac:dyDescent="0.35">
      <c r="A121" s="159">
        <v>54323</v>
      </c>
      <c r="B121" s="160" t="s">
        <v>303</v>
      </c>
      <c r="C121" s="159" t="s">
        <v>297</v>
      </c>
      <c r="D121" s="161">
        <v>0.75</v>
      </c>
      <c r="E121" s="162">
        <v>6.54E-2</v>
      </c>
      <c r="F121" s="163">
        <v>8.0728658999999994E-2</v>
      </c>
      <c r="G121" s="164">
        <v>0</v>
      </c>
      <c r="H121" s="159" t="s">
        <v>22</v>
      </c>
      <c r="I121" s="164">
        <v>0</v>
      </c>
      <c r="J121" s="159" t="s">
        <v>52</v>
      </c>
      <c r="K121" s="165" t="s">
        <v>284</v>
      </c>
      <c r="L121" s="158" t="s">
        <v>90</v>
      </c>
      <c r="M121" s="3">
        <v>5</v>
      </c>
      <c r="N121" s="3" t="s">
        <v>56</v>
      </c>
      <c r="O121" s="3">
        <f t="shared" si="14"/>
        <v>1</v>
      </c>
      <c r="P121" s="3">
        <f t="shared" si="16"/>
        <v>1</v>
      </c>
    </row>
  </sheetData>
  <mergeCells count="15">
    <mergeCell ref="A90:B90"/>
    <mergeCell ref="G2:J3"/>
    <mergeCell ref="H5:J5"/>
    <mergeCell ref="B11:B12"/>
    <mergeCell ref="A29:B29"/>
    <mergeCell ref="A46:B46"/>
    <mergeCell ref="A52:B52"/>
    <mergeCell ref="A62:B62"/>
    <mergeCell ref="A73:B73"/>
    <mergeCell ref="A84:B84"/>
    <mergeCell ref="A110:B110"/>
    <mergeCell ref="A116:B116"/>
    <mergeCell ref="A98:B98"/>
    <mergeCell ref="A102:B102"/>
    <mergeCell ref="A105:B105"/>
  </mergeCells>
  <dataValidations count="10">
    <dataValidation type="list" errorStyle="information" allowBlank="1" showInputMessage="1" showErrorMessage="1" errorTitle="User Information" error="You need to select a valid segment, or leave blank to return all." sqref="C8" xr:uid="{CE2C97D5-1442-4B2F-956A-D8B8C85F8F66}">
      <formula1>$M$2:$M$17</formula1>
    </dataValidation>
    <dataValidation type="list" allowBlank="1" showInputMessage="1" showErrorMessage="1" sqref="B19 B22" xr:uid="{FA364B3A-7073-4BAB-9AE9-B8C8CA63A0F9}">
      <formula1>"Frobisher, Newbould, Ramsden, Wright, Oluwo"</formula1>
    </dataValidation>
    <dataValidation type="list" errorStyle="information" allowBlank="1" showInputMessage="1" showErrorMessage="1" errorTitle="User Information" error="You need to select a valid segment, or leave blank to return all." sqref="C14" xr:uid="{36054EE4-B4B9-4CFB-A395-FA6ED879CAF9}">
      <formula1>"Legal, Legal &amp; Valuation, None, Valuation"</formula1>
    </dataValidation>
    <dataValidation type="list" errorStyle="information" allowBlank="1" showInputMessage="1" showErrorMessage="1" errorTitle="User Information" error="You need to select a valid segment, or leave blank to return all." sqref="C15" xr:uid="{3FB52214-965B-4A0E-9123-CCEC2E126894}">
      <formula1>"£0, £250, £500, £750, £1000"</formula1>
    </dataValidation>
    <dataValidation type="list" errorStyle="information" allowBlank="1" showInputMessage="1" showErrorMessage="1" errorTitle="User Information" error="You need to select a valid segment, or leave blank to return all." sqref="C11" xr:uid="{93232063-EA6F-4B9D-BE4C-774C6615821A}">
      <formula1>"Exactly,Less than or equal to,More than or equal to"</formula1>
    </dataValidation>
    <dataValidation type="date" allowBlank="1" showInputMessage="1" showErrorMessage="1" sqref="B25" xr:uid="{EBABE9B5-0CA0-47B2-A658-5AD52E2A3DF2}">
      <formula1>42736</formula1>
      <formula2>72686</formula2>
    </dataValidation>
    <dataValidation type="list" errorStyle="information" allowBlank="1" showInputMessage="1" showErrorMessage="1" errorTitle="User Information" error="You need to select a valid segment, or leave blank to return all." sqref="C9" xr:uid="{0EA1E823-AD73-445A-A0B1-F2EC88AE9B0C}">
      <formula1>"Purchase, Remortgage"</formula1>
    </dataValidation>
    <dataValidation type="list" errorStyle="information" allowBlank="1" showInputMessage="1" showErrorMessage="1" errorTitle="User Information" error="You need to select a valid segment, or leave blank to return all." sqref="C10" xr:uid="{A78D67F7-3DA9-440F-80D8-F8DD75B996FA}">
      <formula1>"Discount, Fixed, Tracker, Variable"</formula1>
    </dataValidation>
    <dataValidation type="list" errorStyle="information" allowBlank="1" showInputMessage="1" showErrorMessage="1" errorTitle="User Information" error="You need to select a valid segment, or leave blank to return all." sqref="C12" xr:uid="{B6040DCF-ABC4-4F0F-BC7B-E58C1885EA96}">
      <formula1>"55%, 60%, 65%, 70%, 75%, 80%, 85%, 90%, 95%"</formula1>
    </dataValidation>
    <dataValidation type="list" errorStyle="information" allowBlank="1" showInputMessage="1" showErrorMessage="1" errorTitle="User Information" error="You need to select a valid segment, or leave blank to return all." sqref="C13" xr:uid="{67BB5E3D-2493-4AEB-84E5-ED5BCB9CFAB7}">
      <formula1>"2, 3, 5, 10"</formula1>
    </dataValidation>
  </dataValidations>
  <pageMargins left="0.7" right="0.7" top="0.75" bottom="0.75" header="0.3" footer="0.3"/>
  <pageSetup paperSize="9" scale="4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9D940-9054-4975-80EC-18BA3E8A0D96}">
  <sheetPr codeName="NewDesigner1">
    <pageSetUpPr fitToPage="1"/>
  </sheetPr>
  <dimension ref="A1:P98"/>
  <sheetViews>
    <sheetView topLeftCell="A2" zoomScale="85" zoomScaleNormal="85" workbookViewId="0">
      <selection activeCell="H5" sqref="H5:J5"/>
    </sheetView>
  </sheetViews>
  <sheetFormatPr defaultColWidth="0" defaultRowHeight="18.75" customHeight="1" x14ac:dyDescent="0.35"/>
  <cols>
    <col min="1" max="1" width="8.54296875" style="10" customWidth="1"/>
    <col min="2" max="2" width="59.453125" style="10" customWidth="1"/>
    <col min="3" max="3" width="22.54296875" style="10" customWidth="1"/>
    <col min="4" max="4" width="11.453125" style="10" customWidth="1"/>
    <col min="5" max="6" width="8.54296875" style="10" customWidth="1"/>
    <col min="7" max="7" width="15.54296875" style="10" customWidth="1"/>
    <col min="8" max="8" width="22.54296875" style="10" customWidth="1"/>
    <col min="9" max="9" width="15.54296875" style="10" customWidth="1"/>
    <col min="10" max="10" width="8.54296875" style="10" customWidth="1"/>
    <col min="11" max="11" width="15.54296875" style="10" customWidth="1"/>
    <col min="12" max="15" width="14.453125" style="10" hidden="1" customWidth="1"/>
    <col min="16" max="16" width="14.453125" style="33" hidden="1" customWidth="1"/>
    <col min="17" max="16384" width="7.453125" style="10" hidden="1"/>
  </cols>
  <sheetData>
    <row r="1" spans="1:16" ht="18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6"/>
      <c r="M1" s="7"/>
      <c r="N1" s="7"/>
      <c r="O1" s="7"/>
      <c r="P1" s="18"/>
    </row>
    <row r="2" spans="1:16" ht="18.75" customHeight="1" x14ac:dyDescent="0.35">
      <c r="A2" s="21"/>
      <c r="B2" s="21"/>
      <c r="C2" s="21"/>
      <c r="D2" s="21"/>
      <c r="E2" s="21"/>
      <c r="F2" s="21"/>
      <c r="G2" s="254" t="s">
        <v>81</v>
      </c>
      <c r="H2" s="254"/>
      <c r="I2" s="254"/>
      <c r="J2" s="254"/>
      <c r="K2" s="21"/>
      <c r="L2" s="6"/>
      <c r="M2" s="3" t="s">
        <v>30</v>
      </c>
      <c r="N2" s="3" t="s">
        <v>30</v>
      </c>
      <c r="O2" s="7"/>
      <c r="P2" s="18"/>
    </row>
    <row r="3" spans="1:16" ht="18.75" customHeight="1" x14ac:dyDescent="0.35">
      <c r="A3" s="21"/>
      <c r="B3" s="21"/>
      <c r="C3" s="21"/>
      <c r="D3" s="21"/>
      <c r="E3" s="21"/>
      <c r="F3" s="21"/>
      <c r="G3" s="254"/>
      <c r="H3" s="254"/>
      <c r="I3" s="254"/>
      <c r="J3" s="254"/>
      <c r="K3" s="21"/>
      <c r="L3" s="6"/>
      <c r="M3" s="3" t="s">
        <v>122</v>
      </c>
      <c r="N3" s="3" t="s">
        <v>122</v>
      </c>
      <c r="O3" s="7"/>
      <c r="P3" s="18"/>
    </row>
    <row r="4" spans="1:16" ht="18.7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6"/>
      <c r="M4" s="3" t="s">
        <v>31</v>
      </c>
      <c r="N4" s="3" t="s">
        <v>31</v>
      </c>
      <c r="O4" s="7"/>
      <c r="P4" s="18"/>
    </row>
    <row r="5" spans="1:16" ht="30" customHeight="1" x14ac:dyDescent="0.35">
      <c r="A5" s="21"/>
      <c r="B5" s="22" t="s">
        <v>103</v>
      </c>
      <c r="C5" s="21"/>
      <c r="D5" s="21"/>
      <c r="E5" s="21"/>
      <c r="F5" s="21"/>
      <c r="G5" s="21"/>
      <c r="H5" s="255">
        <v>45575</v>
      </c>
      <c r="I5" s="255"/>
      <c r="J5" s="255"/>
      <c r="K5" s="21"/>
      <c r="L5" s="6"/>
      <c r="M5" s="3" t="s">
        <v>32</v>
      </c>
      <c r="N5" s="3" t="s">
        <v>32</v>
      </c>
      <c r="O5" s="7"/>
      <c r="P5" s="18"/>
    </row>
    <row r="6" spans="1:16" ht="18.75" customHeight="1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6"/>
      <c r="M6" s="3" t="s">
        <v>123</v>
      </c>
      <c r="N6" s="3" t="s">
        <v>34</v>
      </c>
      <c r="O6" s="7"/>
      <c r="P6" s="18"/>
    </row>
    <row r="7" spans="1:16" ht="18.75" hidden="1" customHeight="1" x14ac:dyDescent="0.35">
      <c r="A7" s="23"/>
      <c r="B7" s="23"/>
      <c r="C7" s="23"/>
      <c r="L7" s="6"/>
      <c r="M7" s="3" t="s">
        <v>34</v>
      </c>
      <c r="N7" s="3" t="s">
        <v>41</v>
      </c>
      <c r="O7" s="7"/>
      <c r="P7" s="18"/>
    </row>
    <row r="8" spans="1:16" ht="18.75" hidden="1" customHeight="1" x14ac:dyDescent="0.35">
      <c r="A8" s="23"/>
      <c r="B8" s="24" t="s">
        <v>67</v>
      </c>
      <c r="C8" s="28"/>
      <c r="L8" s="6"/>
      <c r="M8" s="3" t="s">
        <v>41</v>
      </c>
      <c r="N8" s="3" t="s">
        <v>38</v>
      </c>
      <c r="O8" s="7"/>
      <c r="P8" s="18"/>
    </row>
    <row r="9" spans="1:16" ht="18.75" hidden="1" customHeight="1" x14ac:dyDescent="0.35">
      <c r="A9" s="23"/>
      <c r="B9" s="24" t="s">
        <v>77</v>
      </c>
      <c r="C9" s="28"/>
      <c r="L9" s="6"/>
      <c r="M9" s="3" t="s">
        <v>38</v>
      </c>
      <c r="N9" s="3" t="s">
        <v>35</v>
      </c>
      <c r="O9" s="7"/>
      <c r="P9" s="18"/>
    </row>
    <row r="10" spans="1:16" ht="18.75" hidden="1" customHeight="1" x14ac:dyDescent="0.35">
      <c r="A10" s="23"/>
      <c r="B10" s="24" t="s">
        <v>78</v>
      </c>
      <c r="C10" s="28"/>
      <c r="L10" s="6"/>
      <c r="M10" s="3" t="s">
        <v>35</v>
      </c>
      <c r="N10" s="3" t="s">
        <v>36</v>
      </c>
      <c r="O10" s="7"/>
      <c r="P10" s="18"/>
    </row>
    <row r="11" spans="1:16" ht="18.75" hidden="1" customHeight="1" x14ac:dyDescent="0.35">
      <c r="A11" s="23"/>
      <c r="B11" s="256" t="s">
        <v>76</v>
      </c>
      <c r="C11" s="28"/>
      <c r="L11" s="6"/>
      <c r="M11" s="3" t="s">
        <v>36</v>
      </c>
      <c r="N11" s="3" t="s">
        <v>47</v>
      </c>
      <c r="O11" s="7"/>
      <c r="P11" s="18"/>
    </row>
    <row r="12" spans="1:16" ht="18.75" hidden="1" customHeight="1" x14ac:dyDescent="0.35">
      <c r="A12" s="23"/>
      <c r="B12" s="257"/>
      <c r="C12" s="29"/>
      <c r="L12" s="6"/>
      <c r="M12" s="3" t="s">
        <v>47</v>
      </c>
      <c r="N12" s="3" t="s">
        <v>37</v>
      </c>
      <c r="O12" s="7"/>
      <c r="P12" s="18"/>
    </row>
    <row r="13" spans="1:16" ht="18.75" hidden="1" customHeight="1" x14ac:dyDescent="0.35">
      <c r="A13" s="23"/>
      <c r="B13" s="24" t="s">
        <v>82</v>
      </c>
      <c r="C13" s="28"/>
      <c r="L13" s="6"/>
      <c r="M13" s="3" t="s">
        <v>37</v>
      </c>
      <c r="N13" s="3" t="s">
        <v>39</v>
      </c>
      <c r="O13" s="7"/>
      <c r="P13" s="18"/>
    </row>
    <row r="14" spans="1:16" ht="18.75" hidden="1" customHeight="1" x14ac:dyDescent="0.35">
      <c r="A14" s="23"/>
      <c r="B14" s="24" t="s">
        <v>98</v>
      </c>
      <c r="C14" s="28"/>
      <c r="L14" s="6"/>
      <c r="M14" s="3" t="s">
        <v>39</v>
      </c>
      <c r="N14" s="3" t="s">
        <v>83</v>
      </c>
      <c r="O14" s="7"/>
      <c r="P14" s="18"/>
    </row>
    <row r="15" spans="1:16" ht="18.75" hidden="1" customHeight="1" x14ac:dyDescent="0.35">
      <c r="A15" s="23"/>
      <c r="B15" s="24" t="s">
        <v>23</v>
      </c>
      <c r="C15" s="64"/>
      <c r="L15" s="6"/>
      <c r="M15" s="3" t="s">
        <v>87</v>
      </c>
      <c r="N15" s="3" t="s">
        <v>87</v>
      </c>
      <c r="O15" s="7"/>
      <c r="P15" s="18"/>
    </row>
    <row r="16" spans="1:16" ht="18.75" hidden="1" customHeight="1" thickBot="1" x14ac:dyDescent="0.4">
      <c r="A16" s="25"/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6"/>
      <c r="M16" s="3" t="s">
        <v>89</v>
      </c>
      <c r="N16" s="3" t="s">
        <v>89</v>
      </c>
      <c r="O16" s="7"/>
      <c r="P16" s="18"/>
    </row>
    <row r="17" spans="1:16" ht="18.75" hidden="1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3" t="s">
        <v>90</v>
      </c>
      <c r="N17" s="3" t="s">
        <v>90</v>
      </c>
      <c r="O17" s="7"/>
      <c r="P17" s="18"/>
    </row>
    <row r="18" spans="1:16" ht="18.75" hidden="1" customHeight="1" x14ac:dyDescent="0.35">
      <c r="A18" s="7"/>
      <c r="B18" s="20" t="s">
        <v>65</v>
      </c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3" t="s">
        <v>102</v>
      </c>
      <c r="O18" s="7"/>
      <c r="P18" s="18"/>
    </row>
    <row r="19" spans="1:16" ht="18.75" hidden="1" customHeight="1" x14ac:dyDescent="0.35">
      <c r="A19" s="7"/>
      <c r="B19" s="19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3" t="s">
        <v>101</v>
      </c>
      <c r="O19" s="7"/>
      <c r="P19" s="18"/>
    </row>
    <row r="20" spans="1:16" ht="18.75" hidden="1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18"/>
    </row>
    <row r="21" spans="1:16" ht="18.75" hidden="1" customHeight="1" x14ac:dyDescent="0.35">
      <c r="A21" s="7"/>
      <c r="B21" s="20" t="s">
        <v>66</v>
      </c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18"/>
    </row>
    <row r="22" spans="1:16" ht="18.75" hidden="1" customHeight="1" x14ac:dyDescent="0.35">
      <c r="A22" s="7"/>
      <c r="B22" s="19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18"/>
    </row>
    <row r="23" spans="1:16" ht="18.75" hidden="1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18"/>
    </row>
    <row r="24" spans="1:16" ht="18.75" hidden="1" customHeight="1" x14ac:dyDescent="0.35">
      <c r="A24" s="7"/>
      <c r="B24" s="20" t="s">
        <v>70</v>
      </c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18"/>
    </row>
    <row r="25" spans="1:16" ht="18.75" hidden="1" customHeight="1" x14ac:dyDescent="0.35">
      <c r="A25" s="7"/>
      <c r="B25" s="31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18"/>
    </row>
    <row r="26" spans="1:16" ht="18.75" hidden="1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18"/>
    </row>
    <row r="27" spans="1:16" ht="18.75" hidden="1" customHeight="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5"/>
      <c r="L27" s="7"/>
      <c r="M27" s="7"/>
      <c r="N27" s="7"/>
      <c r="O27" s="7"/>
      <c r="P27" s="18"/>
    </row>
    <row r="28" spans="1:16" ht="18.75" hidden="1" customHeight="1" x14ac:dyDescent="0.35">
      <c r="A28" s="7"/>
      <c r="B28" s="34" t="s">
        <v>104</v>
      </c>
      <c r="C28" s="7"/>
      <c r="D28" s="259" t="s">
        <v>17</v>
      </c>
      <c r="E28" s="259"/>
      <c r="F28" s="260"/>
      <c r="G28" s="260"/>
      <c r="H28" s="260"/>
      <c r="I28" s="7"/>
      <c r="J28" s="7"/>
      <c r="K28" s="8"/>
      <c r="L28" s="7"/>
      <c r="M28" s="7"/>
      <c r="N28" s="7"/>
      <c r="O28" s="7"/>
      <c r="P28" s="18"/>
    </row>
    <row r="29" spans="1:16" ht="18.75" hidden="1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9"/>
      <c r="L29" s="7"/>
      <c r="M29" s="7"/>
      <c r="N29" s="7"/>
      <c r="O29" s="7"/>
      <c r="P29" s="18"/>
    </row>
    <row r="30" spans="1:16" ht="18.75" hidden="1" customHeight="1" x14ac:dyDescent="0.35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2" t="s">
        <v>8</v>
      </c>
      <c r="J30" s="2" t="s">
        <v>9</v>
      </c>
      <c r="K30" s="2" t="s">
        <v>10</v>
      </c>
      <c r="L30" s="1" t="s">
        <v>59</v>
      </c>
      <c r="M30" s="2" t="s">
        <v>62</v>
      </c>
      <c r="N30" s="1" t="s">
        <v>63</v>
      </c>
      <c r="O30" s="1" t="s">
        <v>64</v>
      </c>
      <c r="P30" s="2" t="s">
        <v>13</v>
      </c>
    </row>
    <row r="31" spans="1:16" ht="18.75" customHeight="1" thickBot="1" x14ac:dyDescent="0.4">
      <c r="A31" s="213" t="s">
        <v>14</v>
      </c>
      <c r="B31" s="157" t="s">
        <v>57</v>
      </c>
      <c r="C31" s="157" t="s">
        <v>17</v>
      </c>
      <c r="D31" s="157" t="s">
        <v>124</v>
      </c>
      <c r="E31" s="157" t="s">
        <v>19</v>
      </c>
      <c r="F31" s="157" t="s">
        <v>125</v>
      </c>
      <c r="G31" s="157" t="s">
        <v>20</v>
      </c>
      <c r="H31" s="157" t="s">
        <v>58</v>
      </c>
      <c r="I31" s="157" t="s">
        <v>23</v>
      </c>
      <c r="J31" s="157" t="s">
        <v>24</v>
      </c>
      <c r="K31" s="157" t="s">
        <v>25</v>
      </c>
      <c r="L31" s="1" t="s">
        <v>60</v>
      </c>
      <c r="M31" s="1" t="s">
        <v>48</v>
      </c>
      <c r="N31" s="1" t="s">
        <v>54</v>
      </c>
      <c r="O31" s="1">
        <v>1</v>
      </c>
      <c r="P31" s="1">
        <v>1</v>
      </c>
    </row>
    <row r="32" spans="1:16" ht="18.75" customHeight="1" x14ac:dyDescent="0.35">
      <c r="A32" s="261" t="s">
        <v>26</v>
      </c>
      <c r="B32" s="261"/>
      <c r="C32" s="209" t="s">
        <v>214</v>
      </c>
      <c r="D32" s="207"/>
      <c r="E32" s="207"/>
      <c r="F32" s="207"/>
      <c r="G32" s="207"/>
      <c r="H32" s="207"/>
      <c r="I32" s="207"/>
      <c r="J32" s="207"/>
      <c r="K32" s="207"/>
      <c r="L32" s="1" t="s">
        <v>30</v>
      </c>
      <c r="M32" s="1" t="s">
        <v>61</v>
      </c>
      <c r="N32" s="1" t="s">
        <v>61</v>
      </c>
      <c r="O32" s="1">
        <f>IF(SUM(O33:O37)=0,0,1)</f>
        <v>1</v>
      </c>
      <c r="P32" s="1">
        <f>IF(SUM(P33:P37)=0,0,1)</f>
        <v>1</v>
      </c>
    </row>
    <row r="33" spans="1:16" ht="18.75" customHeight="1" x14ac:dyDescent="0.35">
      <c r="A33" s="159">
        <v>54339</v>
      </c>
      <c r="B33" s="160" t="s">
        <v>298</v>
      </c>
      <c r="C33" s="159" t="s">
        <v>297</v>
      </c>
      <c r="D33" s="161">
        <v>0.65</v>
      </c>
      <c r="E33" s="162">
        <v>4.2799999999999998E-2</v>
      </c>
      <c r="F33" s="163">
        <v>7.5415481000000006E-2</v>
      </c>
      <c r="G33" s="164">
        <v>799</v>
      </c>
      <c r="H33" s="159" t="s">
        <v>22</v>
      </c>
      <c r="I33" s="164">
        <v>0</v>
      </c>
      <c r="J33" s="159" t="s">
        <v>52</v>
      </c>
      <c r="K33" s="165" t="s">
        <v>283</v>
      </c>
      <c r="L33" s="158" t="s">
        <v>30</v>
      </c>
      <c r="M33" s="3">
        <v>2</v>
      </c>
      <c r="N33" s="3" t="s">
        <v>56</v>
      </c>
      <c r="O33" s="3">
        <f>IF($C$11="More than or equal to",IF(AND(OR($C$8="",$C$8=L33),OR($C$9="",C33="Purchase &amp; Remortgage",$C$9=C33),OR($C$10="",$C$10=N33),OR($C$12="",$C$12&lt;=D33),OR($C$13="",$C$13=M33),OR($C$14="",$C$14=H33),OR($C$15="",$C$15=I33)),1,0),IF($C$11="Less than or equal to",IF(AND(OR($C$8="",$C$8=L33),OR($C$9="",C33="Purchase &amp; Remortgage",$C$9=C33),OR($C$10="",$C$10=N33),OR($C$12="",$C$12&gt;=D33),OR($C$13="",$C$13=M33),OR($C$14="",$C$14=H33),OR($C$15="",$C$15=I33)),1,0),IF(AND(OR($C$8="",$C$8=L33),OR($C$9="",C33="Purchase &amp; Remortgage",$C$9=C33),OR($C$10="",$C$10=N33),OR($C$12="",$C$12=D33),OR($C$13="",$C$13=M33),OR($C$14="",$C$14=H33),OR($C$15="",$C$15=I33)),1,0)))</f>
        <v>1</v>
      </c>
      <c r="P33" s="3">
        <f t="shared" ref="P33:P37" si="0">IF(A33=0,0,1)</f>
        <v>1</v>
      </c>
    </row>
    <row r="34" spans="1:16" ht="18.75" customHeight="1" x14ac:dyDescent="0.35">
      <c r="A34" s="166">
        <v>54341</v>
      </c>
      <c r="B34" s="167" t="s">
        <v>299</v>
      </c>
      <c r="C34" s="166" t="s">
        <v>297</v>
      </c>
      <c r="D34" s="168">
        <v>0.65</v>
      </c>
      <c r="E34" s="169">
        <v>4.4499999999999998E-2</v>
      </c>
      <c r="F34" s="170">
        <v>7.5162067999999999E-2</v>
      </c>
      <c r="G34" s="171">
        <v>0</v>
      </c>
      <c r="H34" s="166" t="s">
        <v>22</v>
      </c>
      <c r="I34" s="171">
        <v>0</v>
      </c>
      <c r="J34" s="166" t="s">
        <v>52</v>
      </c>
      <c r="K34" s="172" t="s">
        <v>283</v>
      </c>
      <c r="L34" s="158" t="s">
        <v>30</v>
      </c>
      <c r="M34" s="3">
        <v>2</v>
      </c>
      <c r="N34" s="3" t="s">
        <v>56</v>
      </c>
      <c r="O34" s="3">
        <f>IF($C$11="More than or equal to",IF(AND(OR($C$8="",$C$8=L34),OR($C$9="",C34="Purchase &amp; Remortgage",$C$9=C34),OR($C$10="",$C$10=N34),OR($C$12="",$C$12&lt;=D34),OR($C$13="",$C$13=M34),OR($C$14="",$C$14=H34),OR($C$15="",$C$15=I34)),1,0),IF($C$11="Less than or equal to",IF(AND(OR($C$8="",$C$8=L34),OR($C$9="",C34="Purchase &amp; Remortgage",$C$9=C34),OR($C$10="",$C$10=N34),OR($C$12="",$C$12&gt;=D34),OR($C$13="",$C$13=M34),OR($C$14="",$C$14=H34),OR($C$15="",$C$15=I34)),1,0),IF(AND(OR($C$8="",$C$8=L34),OR($C$9="",C34="Purchase &amp; Remortgage",$C$9=C34),OR($C$10="",$C$10=N34),OR($C$12="",$C$12=D34),OR($C$13="",$C$13=M34),OR($C$14="",$C$14=H34),OR($C$15="",$C$15=I34)),1,0)))</f>
        <v>1</v>
      </c>
      <c r="P34" s="3">
        <f t="shared" si="0"/>
        <v>1</v>
      </c>
    </row>
    <row r="35" spans="1:16" ht="18.75" customHeight="1" x14ac:dyDescent="0.35">
      <c r="A35" s="159">
        <v>54338</v>
      </c>
      <c r="B35" s="160" t="s">
        <v>300</v>
      </c>
      <c r="C35" s="159" t="s">
        <v>297</v>
      </c>
      <c r="D35" s="161">
        <v>0.75</v>
      </c>
      <c r="E35" s="162">
        <v>4.2500000000000003E-2</v>
      </c>
      <c r="F35" s="163">
        <v>7.5659164000000001E-2</v>
      </c>
      <c r="G35" s="164">
        <v>1599</v>
      </c>
      <c r="H35" s="159" t="s">
        <v>22</v>
      </c>
      <c r="I35" s="164">
        <v>0</v>
      </c>
      <c r="J35" s="159" t="s">
        <v>52</v>
      </c>
      <c r="K35" s="165" t="s">
        <v>283</v>
      </c>
      <c r="L35" s="158" t="s">
        <v>30</v>
      </c>
      <c r="M35" s="3">
        <v>2</v>
      </c>
      <c r="N35" s="3" t="s">
        <v>56</v>
      </c>
      <c r="O35" s="3">
        <f t="shared" ref="O35:O37" si="1">IF($C$11="More than or equal to",IF(AND(OR($C$8="",$C$8=L35),OR($C$9="",C35="Purchase &amp; Remortgage",$C$9=C35),OR($C$10="",$C$10=N35),OR($C$12="",$C$12&lt;=D35),OR($C$13="",$C$13=M35),OR($C$14="",$C$14=H35),OR($C$15="",$C$15=I35)),1,0),IF($C$11="Less than or equal to",IF(AND(OR($C$8="",$C$8=L35),OR($C$9="",C35="Purchase &amp; Remortgage",$C$9=C35),OR($C$10="",$C$10=N35),OR($C$12="",$C$12&gt;=D35),OR($C$13="",$C$13=M35),OR($C$14="",$C$14=H35),OR($C$15="",$C$15=I35)),1,0),IF(AND(OR($C$8="",$C$8=L35),OR($C$9="",C35="Purchase &amp; Remortgage",$C$9=C35),OR($C$10="",$C$10=N35),OR($C$12="",$C$12=D35),OR($C$13="",$C$13=M35),OR($C$14="",$C$14=H35),OR($C$15="",$C$15=I35)),1,0)))</f>
        <v>1</v>
      </c>
      <c r="P35" s="3">
        <f t="shared" si="0"/>
        <v>1</v>
      </c>
    </row>
    <row r="36" spans="1:16" ht="18.75" customHeight="1" x14ac:dyDescent="0.35">
      <c r="A36" s="166">
        <v>54340</v>
      </c>
      <c r="B36" s="167" t="s">
        <v>298</v>
      </c>
      <c r="C36" s="166" t="s">
        <v>297</v>
      </c>
      <c r="D36" s="168">
        <v>0.75</v>
      </c>
      <c r="E36" s="169">
        <v>4.4299999999999999E-2</v>
      </c>
      <c r="F36" s="170">
        <v>7.5731243000000004E-2</v>
      </c>
      <c r="G36" s="171">
        <v>799</v>
      </c>
      <c r="H36" s="166" t="s">
        <v>22</v>
      </c>
      <c r="I36" s="171">
        <v>0</v>
      </c>
      <c r="J36" s="166" t="s">
        <v>52</v>
      </c>
      <c r="K36" s="172" t="s">
        <v>283</v>
      </c>
      <c r="L36" s="158" t="s">
        <v>30</v>
      </c>
      <c r="M36" s="3">
        <v>2</v>
      </c>
      <c r="N36" s="3" t="s">
        <v>56</v>
      </c>
      <c r="O36" s="3">
        <f t="shared" si="1"/>
        <v>1</v>
      </c>
      <c r="P36" s="3">
        <f t="shared" si="0"/>
        <v>1</v>
      </c>
    </row>
    <row r="37" spans="1:16" ht="18.75" customHeight="1" thickBot="1" x14ac:dyDescent="0.4">
      <c r="A37" s="159">
        <v>54342</v>
      </c>
      <c r="B37" s="160" t="s">
        <v>299</v>
      </c>
      <c r="C37" s="159" t="s">
        <v>297</v>
      </c>
      <c r="D37" s="161">
        <v>0.75</v>
      </c>
      <c r="E37" s="162">
        <v>4.5400000000000003E-2</v>
      </c>
      <c r="F37" s="163">
        <v>7.5351136999999999E-2</v>
      </c>
      <c r="G37" s="164">
        <v>0</v>
      </c>
      <c r="H37" s="159" t="s">
        <v>22</v>
      </c>
      <c r="I37" s="164">
        <v>0</v>
      </c>
      <c r="J37" s="159" t="s">
        <v>52</v>
      </c>
      <c r="K37" s="165" t="s">
        <v>283</v>
      </c>
      <c r="L37" s="158" t="s">
        <v>30</v>
      </c>
      <c r="M37" s="3">
        <v>2</v>
      </c>
      <c r="N37" s="3" t="s">
        <v>56</v>
      </c>
      <c r="O37" s="3">
        <f t="shared" si="1"/>
        <v>1</v>
      </c>
      <c r="P37" s="3">
        <f t="shared" si="0"/>
        <v>1</v>
      </c>
    </row>
    <row r="38" spans="1:16" ht="18.75" customHeight="1" x14ac:dyDescent="0.35">
      <c r="A38" s="253" t="s">
        <v>27</v>
      </c>
      <c r="B38" s="253"/>
      <c r="C38" s="209" t="s">
        <v>214</v>
      </c>
      <c r="D38" s="210"/>
      <c r="E38" s="210"/>
      <c r="F38" s="210"/>
      <c r="G38" s="210"/>
      <c r="H38" s="210"/>
      <c r="I38" s="210"/>
      <c r="J38" s="210"/>
      <c r="K38" s="210"/>
      <c r="L38" s="1" t="s">
        <v>31</v>
      </c>
      <c r="M38" s="1">
        <v>0</v>
      </c>
      <c r="N38" s="1">
        <v>0</v>
      </c>
      <c r="O38" s="1">
        <f>IF(SUM(O39:O43)=0,0,1)</f>
        <v>1</v>
      </c>
      <c r="P38" s="1">
        <f>IF(SUM(P39:P43)=0,0,1)</f>
        <v>1</v>
      </c>
    </row>
    <row r="39" spans="1:16" ht="18.75" customHeight="1" x14ac:dyDescent="0.35">
      <c r="A39" s="159">
        <v>54272</v>
      </c>
      <c r="B39" s="160" t="s">
        <v>299</v>
      </c>
      <c r="C39" s="159" t="s">
        <v>297</v>
      </c>
      <c r="D39" s="161">
        <v>0.65</v>
      </c>
      <c r="E39" s="162">
        <v>5.8400000000000001E-2</v>
      </c>
      <c r="F39" s="163">
        <v>7.9617921999999994E-2</v>
      </c>
      <c r="G39" s="164">
        <v>0</v>
      </c>
      <c r="H39" s="159" t="s">
        <v>22</v>
      </c>
      <c r="I39" s="164">
        <v>0</v>
      </c>
      <c r="J39" s="159" t="s">
        <v>52</v>
      </c>
      <c r="K39" s="165" t="s">
        <v>283</v>
      </c>
      <c r="L39" s="158" t="s">
        <v>31</v>
      </c>
      <c r="M39" s="3">
        <v>2</v>
      </c>
      <c r="N39" s="3" t="s">
        <v>56</v>
      </c>
      <c r="O39" s="3">
        <f t="shared" ref="O39:O43" si="2">IF($C$11="More than or equal to",IF(AND(OR($C$8="",$C$8=L39),OR($C$9="",C39="Purchase &amp; Remortgage",$C$9=C39),OR($C$10="",$C$10=N39),OR($C$12="",$C$12&lt;=D39),OR($C$13="",$C$13=M39),OR($C$14="",$C$14=H39),OR($C$15="",$C$15=I39)),1,0),IF($C$11="Less than or equal to",IF(AND(OR($C$8="",$C$8=L39),OR($C$9="",C39="Purchase &amp; Remortgage",$C$9=C39),OR($C$10="",$C$10=N39),OR($C$12="",$C$12&gt;=D39),OR($C$13="",$C$13=M39),OR($C$14="",$C$14=H39),OR($C$15="",$C$15=I39)),1,0),IF(AND(OR($C$8="",$C$8=L39),OR($C$9="",C39="Purchase &amp; Remortgage",$C$9=C39),OR($C$10="",$C$10=N39),OR($C$12="",$C$12=D39),OR($C$13="",$C$13=M39),OR($C$14="",$C$14=H39),OR($C$15="",$C$15=I39)),1,0)))</f>
        <v>1</v>
      </c>
      <c r="P39" s="3">
        <f t="shared" ref="P39:P43" si="3">IF(A39=0,0,1)</f>
        <v>1</v>
      </c>
    </row>
    <row r="40" spans="1:16" ht="18.75" customHeight="1" x14ac:dyDescent="0.35">
      <c r="A40" s="166">
        <v>54275</v>
      </c>
      <c r="B40" s="167" t="s">
        <v>299</v>
      </c>
      <c r="C40" s="166" t="s">
        <v>297</v>
      </c>
      <c r="D40" s="168">
        <v>0.85</v>
      </c>
      <c r="E40" s="169">
        <v>6.0400000000000002E-2</v>
      </c>
      <c r="F40" s="170">
        <v>7.8550264999999994E-2</v>
      </c>
      <c r="G40" s="171">
        <v>0</v>
      </c>
      <c r="H40" s="166" t="s">
        <v>22</v>
      </c>
      <c r="I40" s="171">
        <v>0</v>
      </c>
      <c r="J40" s="166" t="s">
        <v>52</v>
      </c>
      <c r="K40" s="172" t="s">
        <v>283</v>
      </c>
      <c r="L40" s="158" t="s">
        <v>31</v>
      </c>
      <c r="M40" s="3">
        <v>2</v>
      </c>
      <c r="N40" s="3" t="s">
        <v>56</v>
      </c>
      <c r="O40" s="3">
        <f t="shared" si="2"/>
        <v>1</v>
      </c>
      <c r="P40" s="3">
        <f t="shared" si="3"/>
        <v>1</v>
      </c>
    </row>
    <row r="41" spans="1:16" ht="18.75" customHeight="1" x14ac:dyDescent="0.35">
      <c r="A41" s="159">
        <v>54274</v>
      </c>
      <c r="B41" s="160" t="s">
        <v>299</v>
      </c>
      <c r="C41" s="159" t="s">
        <v>297</v>
      </c>
      <c r="D41" s="161">
        <v>1.25</v>
      </c>
      <c r="E41" s="162">
        <v>7.1400000000000005E-2</v>
      </c>
      <c r="F41" s="163">
        <v>8.0959539999999997E-2</v>
      </c>
      <c r="G41" s="164">
        <v>0</v>
      </c>
      <c r="H41" s="159" t="s">
        <v>22</v>
      </c>
      <c r="I41" s="164">
        <v>0</v>
      </c>
      <c r="J41" s="159" t="s">
        <v>52</v>
      </c>
      <c r="K41" s="165" t="s">
        <v>283</v>
      </c>
      <c r="L41" s="158" t="s">
        <v>31</v>
      </c>
      <c r="M41" s="3">
        <v>2</v>
      </c>
      <c r="N41" s="3" t="s">
        <v>56</v>
      </c>
      <c r="O41" s="3">
        <f t="shared" si="2"/>
        <v>1</v>
      </c>
      <c r="P41" s="3">
        <f t="shared" si="3"/>
        <v>1</v>
      </c>
    </row>
    <row r="42" spans="1:16" ht="18.75" customHeight="1" x14ac:dyDescent="0.35">
      <c r="A42" s="166">
        <v>54273</v>
      </c>
      <c r="B42" s="167" t="s">
        <v>303</v>
      </c>
      <c r="C42" s="166" t="s">
        <v>297</v>
      </c>
      <c r="D42" s="168">
        <v>0.65</v>
      </c>
      <c r="E42" s="169">
        <v>5.3900000000000003E-2</v>
      </c>
      <c r="F42" s="170">
        <v>7.4516313000000001E-2</v>
      </c>
      <c r="G42" s="171">
        <v>0</v>
      </c>
      <c r="H42" s="166" t="s">
        <v>22</v>
      </c>
      <c r="I42" s="171">
        <v>0</v>
      </c>
      <c r="J42" s="166" t="s">
        <v>52</v>
      </c>
      <c r="K42" s="172" t="s">
        <v>284</v>
      </c>
      <c r="L42" s="158" t="s">
        <v>31</v>
      </c>
      <c r="M42" s="3">
        <v>5</v>
      </c>
      <c r="N42" s="3" t="s">
        <v>56</v>
      </c>
      <c r="O42" s="3">
        <f t="shared" si="2"/>
        <v>1</v>
      </c>
      <c r="P42" s="3">
        <f t="shared" si="3"/>
        <v>1</v>
      </c>
    </row>
    <row r="43" spans="1:16" ht="18.75" customHeight="1" thickBot="1" x14ac:dyDescent="0.4">
      <c r="A43" s="159">
        <v>54276</v>
      </c>
      <c r="B43" s="160" t="s">
        <v>303</v>
      </c>
      <c r="C43" s="159" t="s">
        <v>297</v>
      </c>
      <c r="D43" s="161">
        <v>0.85</v>
      </c>
      <c r="E43" s="162">
        <v>5.5899999999999998E-2</v>
      </c>
      <c r="F43" s="163">
        <v>7.2767939000000004E-2</v>
      </c>
      <c r="G43" s="164">
        <v>0</v>
      </c>
      <c r="H43" s="159" t="s">
        <v>22</v>
      </c>
      <c r="I43" s="164">
        <v>0</v>
      </c>
      <c r="J43" s="159" t="s">
        <v>52</v>
      </c>
      <c r="K43" s="165" t="s">
        <v>284</v>
      </c>
      <c r="L43" s="158" t="s">
        <v>31</v>
      </c>
      <c r="M43" s="3">
        <v>5</v>
      </c>
      <c r="N43" s="3" t="s">
        <v>56</v>
      </c>
      <c r="O43" s="3">
        <f t="shared" si="2"/>
        <v>1</v>
      </c>
      <c r="P43" s="3">
        <f t="shared" si="3"/>
        <v>1</v>
      </c>
    </row>
    <row r="44" spans="1:16" ht="18.75" customHeight="1" x14ac:dyDescent="0.35">
      <c r="A44" s="253" t="s">
        <v>40</v>
      </c>
      <c r="B44" s="253"/>
      <c r="C44" s="209" t="s">
        <v>214</v>
      </c>
      <c r="D44" s="210"/>
      <c r="E44" s="210"/>
      <c r="F44" s="210"/>
      <c r="G44" s="210"/>
      <c r="H44" s="210"/>
      <c r="I44" s="210"/>
      <c r="J44" s="210"/>
      <c r="K44" s="210"/>
      <c r="L44" s="1" t="s">
        <v>34</v>
      </c>
      <c r="M44" s="1">
        <v>0</v>
      </c>
      <c r="N44" s="1">
        <v>0</v>
      </c>
      <c r="O44" s="1">
        <f>IF(SUM(O45:O54)=0,0,1)</f>
        <v>1</v>
      </c>
      <c r="P44" s="1">
        <f>IF(SUM(P45:P54)=0,0,1)</f>
        <v>1</v>
      </c>
    </row>
    <row r="45" spans="1:16" ht="18.75" customHeight="1" x14ac:dyDescent="0.35">
      <c r="A45" s="159">
        <v>54278</v>
      </c>
      <c r="B45" s="160" t="s">
        <v>298</v>
      </c>
      <c r="C45" s="159" t="s">
        <v>297</v>
      </c>
      <c r="D45" s="161">
        <v>0.6</v>
      </c>
      <c r="E45" s="162">
        <v>4.36E-2</v>
      </c>
      <c r="F45" s="163">
        <v>7.9699965999999997E-2</v>
      </c>
      <c r="G45" s="164">
        <v>1499</v>
      </c>
      <c r="H45" s="159" t="s">
        <v>22</v>
      </c>
      <c r="I45" s="164">
        <v>0</v>
      </c>
      <c r="J45" s="159" t="s">
        <v>52</v>
      </c>
      <c r="K45" s="165" t="s">
        <v>283</v>
      </c>
      <c r="L45" s="158" t="s">
        <v>34</v>
      </c>
      <c r="M45" s="3">
        <v>2</v>
      </c>
      <c r="N45" s="3" t="s">
        <v>56</v>
      </c>
      <c r="O45" s="3">
        <f t="shared" ref="O45:O65" si="4">IF($C$11="More than or equal to",IF(AND(OR($C$8="",$C$8=L45),OR($C$9="",C45="Purchase &amp; Remortgage",$C$9=C45),OR($C$10="",$C$10=N45),OR($C$12="",$C$12&lt;=D45),OR($C$13="",$C$13=M45),OR($C$14="",$C$14=H45),OR($C$15="",$C$15=I45)),1,0),IF($C$11="Less than or equal to",IF(AND(OR($C$8="",$C$8=L45),OR($C$9="",C45="Purchase &amp; Remortgage",$C$9=C45),OR($C$10="",$C$10=N45),OR($C$12="",$C$12&gt;=D45),OR($C$13="",$C$13=M45),OR($C$14="",$C$14=H45),OR($C$15="",$C$15=I45)),1,0),IF(AND(OR($C$8="",$C$8=L45),OR($C$9="",C45="Purchase &amp; Remortgage",$C$9=C45),OR($C$10="",$C$10=N45),OR($C$12="",$C$12=D45),OR($C$13="",$C$13=M45),OR($C$14="",$C$14=H45),OR($C$15="",$C$15=I45)),1,0)))</f>
        <v>1</v>
      </c>
      <c r="P45" s="3">
        <f t="shared" ref="P45:P50" si="5">IF(A45=0,0,1)</f>
        <v>1</v>
      </c>
    </row>
    <row r="46" spans="1:16" ht="18.75" customHeight="1" x14ac:dyDescent="0.35">
      <c r="A46" s="166">
        <v>54281</v>
      </c>
      <c r="B46" s="167" t="s">
        <v>298</v>
      </c>
      <c r="C46" s="166" t="s">
        <v>297</v>
      </c>
      <c r="D46" s="168">
        <v>0.6</v>
      </c>
      <c r="E46" s="169">
        <v>4.53E-2</v>
      </c>
      <c r="F46" s="170">
        <v>8.0178536999999994E-2</v>
      </c>
      <c r="G46" s="171">
        <v>999</v>
      </c>
      <c r="H46" s="166" t="s">
        <v>22</v>
      </c>
      <c r="I46" s="171">
        <v>0</v>
      </c>
      <c r="J46" s="166" t="s">
        <v>52</v>
      </c>
      <c r="K46" s="172" t="s">
        <v>283</v>
      </c>
      <c r="L46" s="158" t="s">
        <v>34</v>
      </c>
      <c r="M46" s="3">
        <v>2</v>
      </c>
      <c r="N46" s="3" t="s">
        <v>56</v>
      </c>
      <c r="O46" s="3">
        <f t="shared" si="4"/>
        <v>1</v>
      </c>
      <c r="P46" s="3">
        <f t="shared" si="5"/>
        <v>1</v>
      </c>
    </row>
    <row r="47" spans="1:16" ht="18.75" customHeight="1" x14ac:dyDescent="0.35">
      <c r="A47" s="159">
        <v>54287</v>
      </c>
      <c r="B47" s="160" t="s">
        <v>299</v>
      </c>
      <c r="C47" s="159" t="s">
        <v>297</v>
      </c>
      <c r="D47" s="161">
        <v>0.6</v>
      </c>
      <c r="E47" s="162">
        <v>4.8000000000000001E-2</v>
      </c>
      <c r="F47" s="163">
        <v>7.9872363000000002E-2</v>
      </c>
      <c r="G47" s="164">
        <v>0</v>
      </c>
      <c r="H47" s="159" t="s">
        <v>22</v>
      </c>
      <c r="I47" s="164">
        <v>0</v>
      </c>
      <c r="J47" s="159" t="s">
        <v>52</v>
      </c>
      <c r="K47" s="165" t="s">
        <v>283</v>
      </c>
      <c r="L47" s="158" t="s">
        <v>34</v>
      </c>
      <c r="M47" s="3">
        <v>2</v>
      </c>
      <c r="N47" s="3" t="s">
        <v>56</v>
      </c>
      <c r="O47" s="3">
        <f t="shared" si="4"/>
        <v>1</v>
      </c>
      <c r="P47" s="3">
        <f t="shared" si="5"/>
        <v>1</v>
      </c>
    </row>
    <row r="48" spans="1:16" ht="18.75" customHeight="1" x14ac:dyDescent="0.35">
      <c r="A48" s="166">
        <v>54282</v>
      </c>
      <c r="B48" s="167" t="s">
        <v>298</v>
      </c>
      <c r="C48" s="166" t="s">
        <v>297</v>
      </c>
      <c r="D48" s="168">
        <v>0.75</v>
      </c>
      <c r="E48" s="169">
        <v>5.4899999999999997E-2</v>
      </c>
      <c r="F48" s="170">
        <v>8.1831213999999999E-2</v>
      </c>
      <c r="G48" s="171">
        <v>999</v>
      </c>
      <c r="H48" s="166" t="s">
        <v>22</v>
      </c>
      <c r="I48" s="171">
        <v>0</v>
      </c>
      <c r="J48" s="166" t="s">
        <v>52</v>
      </c>
      <c r="K48" s="172" t="s">
        <v>283</v>
      </c>
      <c r="L48" s="158" t="s">
        <v>34</v>
      </c>
      <c r="M48" s="3">
        <v>2</v>
      </c>
      <c r="N48" s="3" t="s">
        <v>56</v>
      </c>
      <c r="O48" s="3">
        <f t="shared" si="4"/>
        <v>1</v>
      </c>
      <c r="P48" s="3">
        <f t="shared" si="5"/>
        <v>1</v>
      </c>
    </row>
    <row r="49" spans="1:16" ht="18.75" customHeight="1" x14ac:dyDescent="0.35">
      <c r="A49" s="159">
        <v>54290</v>
      </c>
      <c r="B49" s="160" t="s">
        <v>299</v>
      </c>
      <c r="C49" s="159" t="s">
        <v>297</v>
      </c>
      <c r="D49" s="161">
        <v>0.75</v>
      </c>
      <c r="E49" s="162">
        <v>6.0299999999999999E-2</v>
      </c>
      <c r="F49" s="163">
        <v>8.1985638999999999E-2</v>
      </c>
      <c r="G49" s="164">
        <v>0</v>
      </c>
      <c r="H49" s="159" t="s">
        <v>22</v>
      </c>
      <c r="I49" s="164">
        <v>0</v>
      </c>
      <c r="J49" s="159" t="s">
        <v>52</v>
      </c>
      <c r="K49" s="165" t="s">
        <v>283</v>
      </c>
      <c r="L49" s="158" t="s">
        <v>34</v>
      </c>
      <c r="M49" s="3">
        <v>2</v>
      </c>
      <c r="N49" s="3" t="s">
        <v>56</v>
      </c>
      <c r="O49" s="3">
        <f t="shared" si="4"/>
        <v>1</v>
      </c>
      <c r="P49" s="3">
        <f t="shared" si="5"/>
        <v>1</v>
      </c>
    </row>
    <row r="50" spans="1:16" ht="18.75" customHeight="1" x14ac:dyDescent="0.35">
      <c r="A50" s="166">
        <v>54289</v>
      </c>
      <c r="B50" s="167" t="s">
        <v>299</v>
      </c>
      <c r="C50" s="166" t="s">
        <v>297</v>
      </c>
      <c r="D50" s="168">
        <v>1.25</v>
      </c>
      <c r="E50" s="169">
        <v>6.6900000000000001E-2</v>
      </c>
      <c r="F50" s="170">
        <v>8.3147971000000001E-2</v>
      </c>
      <c r="G50" s="171">
        <v>0</v>
      </c>
      <c r="H50" s="166" t="s">
        <v>22</v>
      </c>
      <c r="I50" s="171">
        <v>0</v>
      </c>
      <c r="J50" s="166" t="s">
        <v>52</v>
      </c>
      <c r="K50" s="172" t="s">
        <v>283</v>
      </c>
      <c r="L50" s="158" t="s">
        <v>34</v>
      </c>
      <c r="M50" s="3">
        <v>2</v>
      </c>
      <c r="N50" s="3" t="s">
        <v>56</v>
      </c>
      <c r="O50" s="3">
        <f t="shared" si="4"/>
        <v>1</v>
      </c>
      <c r="P50" s="3">
        <f t="shared" si="5"/>
        <v>1</v>
      </c>
    </row>
    <row r="51" spans="1:16" ht="18.75" customHeight="1" x14ac:dyDescent="0.35">
      <c r="A51" s="159">
        <v>54293</v>
      </c>
      <c r="B51" s="160" t="s">
        <v>302</v>
      </c>
      <c r="C51" s="159" t="s">
        <v>297</v>
      </c>
      <c r="D51" s="161">
        <v>0.6</v>
      </c>
      <c r="E51" s="162">
        <v>4.1399999999999999E-2</v>
      </c>
      <c r="F51" s="163">
        <v>7.2679327000000002E-2</v>
      </c>
      <c r="G51" s="164">
        <v>999</v>
      </c>
      <c r="H51" s="159" t="s">
        <v>22</v>
      </c>
      <c r="I51" s="164">
        <v>0</v>
      </c>
      <c r="J51" s="159" t="s">
        <v>52</v>
      </c>
      <c r="K51" s="165" t="s">
        <v>284</v>
      </c>
      <c r="L51" s="158" t="s">
        <v>34</v>
      </c>
      <c r="M51" s="3">
        <v>5</v>
      </c>
      <c r="N51" s="3" t="s">
        <v>56</v>
      </c>
      <c r="O51" s="3">
        <f t="shared" si="4"/>
        <v>1</v>
      </c>
      <c r="P51" s="3">
        <f t="shared" ref="P51:P65" si="6">IF(A51=0,0,1)</f>
        <v>1</v>
      </c>
    </row>
    <row r="52" spans="1:16" ht="18.75" customHeight="1" x14ac:dyDescent="0.35">
      <c r="A52" s="166">
        <v>54296</v>
      </c>
      <c r="B52" s="167" t="s">
        <v>303</v>
      </c>
      <c r="C52" s="166" t="s">
        <v>297</v>
      </c>
      <c r="D52" s="168">
        <v>0.6</v>
      </c>
      <c r="E52" s="169">
        <v>4.3299999999999998E-2</v>
      </c>
      <c r="F52" s="170">
        <v>7.2651485000000002E-2</v>
      </c>
      <c r="G52" s="171">
        <v>0</v>
      </c>
      <c r="H52" s="166" t="s">
        <v>22</v>
      </c>
      <c r="I52" s="171">
        <v>0</v>
      </c>
      <c r="J52" s="166" t="s">
        <v>52</v>
      </c>
      <c r="K52" s="172" t="s">
        <v>284</v>
      </c>
      <c r="L52" s="158" t="s">
        <v>34</v>
      </c>
      <c r="M52" s="3">
        <v>5</v>
      </c>
      <c r="N52" s="3" t="s">
        <v>56</v>
      </c>
      <c r="O52" s="3">
        <f t="shared" si="4"/>
        <v>1</v>
      </c>
      <c r="P52" s="3">
        <f t="shared" si="6"/>
        <v>1</v>
      </c>
    </row>
    <row r="53" spans="1:16" ht="18.75" customHeight="1" x14ac:dyDescent="0.35">
      <c r="A53" s="159">
        <v>54292</v>
      </c>
      <c r="B53" s="160" t="s">
        <v>302</v>
      </c>
      <c r="C53" s="159" t="s">
        <v>297</v>
      </c>
      <c r="D53" s="161">
        <v>0.75</v>
      </c>
      <c r="E53" s="162">
        <v>5.4100000000000002E-2</v>
      </c>
      <c r="F53" s="163">
        <v>7.7226401E-2</v>
      </c>
      <c r="G53" s="164">
        <v>999</v>
      </c>
      <c r="H53" s="159" t="s">
        <v>22</v>
      </c>
      <c r="I53" s="164">
        <v>0</v>
      </c>
      <c r="J53" s="159" t="s">
        <v>52</v>
      </c>
      <c r="K53" s="165" t="s">
        <v>284</v>
      </c>
      <c r="L53" s="158" t="s">
        <v>34</v>
      </c>
      <c r="M53" s="3">
        <v>5</v>
      </c>
      <c r="N53" s="3" t="s">
        <v>56</v>
      </c>
      <c r="O53" s="3">
        <f t="shared" si="4"/>
        <v>1</v>
      </c>
      <c r="P53" s="3">
        <f t="shared" si="6"/>
        <v>1</v>
      </c>
    </row>
    <row r="54" spans="1:16" ht="18.75" customHeight="1" thickBot="1" x14ac:dyDescent="0.4">
      <c r="A54" s="166">
        <v>54285</v>
      </c>
      <c r="B54" s="167" t="s">
        <v>303</v>
      </c>
      <c r="C54" s="166" t="s">
        <v>297</v>
      </c>
      <c r="D54" s="168">
        <v>0.75</v>
      </c>
      <c r="E54" s="169">
        <v>5.5199999999999999E-2</v>
      </c>
      <c r="F54" s="170">
        <v>7.6895355999999998E-2</v>
      </c>
      <c r="G54" s="171">
        <v>0</v>
      </c>
      <c r="H54" s="166" t="s">
        <v>22</v>
      </c>
      <c r="I54" s="171">
        <v>0</v>
      </c>
      <c r="J54" s="166" t="s">
        <v>52</v>
      </c>
      <c r="K54" s="172" t="s">
        <v>284</v>
      </c>
      <c r="L54" s="158" t="s">
        <v>34</v>
      </c>
      <c r="M54" s="3">
        <v>5</v>
      </c>
      <c r="N54" s="3" t="s">
        <v>56</v>
      </c>
      <c r="O54" s="3">
        <f t="shared" si="4"/>
        <v>1</v>
      </c>
      <c r="P54" s="3">
        <f t="shared" si="6"/>
        <v>1</v>
      </c>
    </row>
    <row r="55" spans="1:16" ht="18.75" customHeight="1" x14ac:dyDescent="0.35">
      <c r="A55" s="253" t="s">
        <v>121</v>
      </c>
      <c r="B55" s="253"/>
      <c r="C55" s="209" t="s">
        <v>214</v>
      </c>
      <c r="D55" s="210"/>
      <c r="E55" s="210"/>
      <c r="F55" s="210"/>
      <c r="G55" s="210"/>
      <c r="H55" s="210"/>
      <c r="I55" s="210"/>
      <c r="J55" s="210"/>
      <c r="K55" s="210"/>
      <c r="L55" s="1" t="s">
        <v>41</v>
      </c>
      <c r="M55" s="1">
        <v>0</v>
      </c>
      <c r="N55" s="1">
        <v>0</v>
      </c>
      <c r="O55" s="1">
        <f>IF(SUM(O56:O65)=0,0,1)</f>
        <v>1</v>
      </c>
      <c r="P55" s="1">
        <f>IF(SUM(P56:P65)=0,0,1)</f>
        <v>1</v>
      </c>
    </row>
    <row r="56" spans="1:16" ht="18.75" customHeight="1" x14ac:dyDescent="0.35">
      <c r="A56" s="159">
        <v>54363</v>
      </c>
      <c r="B56" s="160" t="s">
        <v>298</v>
      </c>
      <c r="C56" s="159" t="s">
        <v>297</v>
      </c>
      <c r="D56" s="161">
        <v>0.6</v>
      </c>
      <c r="E56" s="162">
        <v>4.41E-2</v>
      </c>
      <c r="F56" s="163">
        <v>7.9784403000000004E-2</v>
      </c>
      <c r="G56" s="164">
        <v>1499</v>
      </c>
      <c r="H56" s="159" t="s">
        <v>22</v>
      </c>
      <c r="I56" s="164">
        <v>0</v>
      </c>
      <c r="J56" s="159" t="s">
        <v>52</v>
      </c>
      <c r="K56" s="165" t="s">
        <v>283</v>
      </c>
      <c r="L56" s="158" t="s">
        <v>41</v>
      </c>
      <c r="M56" s="3">
        <v>2</v>
      </c>
      <c r="N56" s="3" t="s">
        <v>56</v>
      </c>
      <c r="O56" s="3">
        <f t="shared" si="4"/>
        <v>1</v>
      </c>
      <c r="P56" s="3">
        <f t="shared" si="6"/>
        <v>1</v>
      </c>
    </row>
    <row r="57" spans="1:16" ht="18.75" customHeight="1" x14ac:dyDescent="0.35">
      <c r="A57" s="166">
        <v>54355</v>
      </c>
      <c r="B57" s="167" t="s">
        <v>298</v>
      </c>
      <c r="C57" s="166" t="s">
        <v>297</v>
      </c>
      <c r="D57" s="168">
        <v>0.6</v>
      </c>
      <c r="E57" s="169">
        <v>4.58E-2</v>
      </c>
      <c r="F57" s="170">
        <v>8.0263604000000002E-2</v>
      </c>
      <c r="G57" s="171">
        <v>999</v>
      </c>
      <c r="H57" s="166" t="s">
        <v>22</v>
      </c>
      <c r="I57" s="171">
        <v>0</v>
      </c>
      <c r="J57" s="166" t="s">
        <v>52</v>
      </c>
      <c r="K57" s="172" t="s">
        <v>283</v>
      </c>
      <c r="L57" s="158" t="s">
        <v>41</v>
      </c>
      <c r="M57" s="3">
        <v>2</v>
      </c>
      <c r="N57" s="3" t="s">
        <v>56</v>
      </c>
      <c r="O57" s="3">
        <f t="shared" si="4"/>
        <v>1</v>
      </c>
      <c r="P57" s="3">
        <f t="shared" si="6"/>
        <v>1</v>
      </c>
    </row>
    <row r="58" spans="1:16" ht="18.75" customHeight="1" x14ac:dyDescent="0.35">
      <c r="A58" s="159">
        <v>54362</v>
      </c>
      <c r="B58" s="160" t="s">
        <v>299</v>
      </c>
      <c r="C58" s="159" t="s">
        <v>297</v>
      </c>
      <c r="D58" s="161">
        <v>0.6</v>
      </c>
      <c r="E58" s="162">
        <v>4.8500000000000001E-2</v>
      </c>
      <c r="F58" s="163">
        <v>7.9957110999999997E-2</v>
      </c>
      <c r="G58" s="164">
        <v>0</v>
      </c>
      <c r="H58" s="159" t="s">
        <v>22</v>
      </c>
      <c r="I58" s="164">
        <v>0</v>
      </c>
      <c r="J58" s="159" t="s">
        <v>52</v>
      </c>
      <c r="K58" s="165" t="s">
        <v>283</v>
      </c>
      <c r="L58" s="158" t="s">
        <v>41</v>
      </c>
      <c r="M58" s="3">
        <v>2</v>
      </c>
      <c r="N58" s="3" t="s">
        <v>56</v>
      </c>
      <c r="O58" s="3">
        <f t="shared" si="4"/>
        <v>1</v>
      </c>
      <c r="P58" s="3">
        <f t="shared" si="6"/>
        <v>1</v>
      </c>
    </row>
    <row r="59" spans="1:16" ht="18.75" customHeight="1" x14ac:dyDescent="0.35">
      <c r="A59" s="166">
        <v>54373</v>
      </c>
      <c r="B59" s="167" t="s">
        <v>298</v>
      </c>
      <c r="C59" s="166" t="s">
        <v>297</v>
      </c>
      <c r="D59" s="168">
        <v>0.75</v>
      </c>
      <c r="E59" s="169">
        <v>5.5399999999999998E-2</v>
      </c>
      <c r="F59" s="170">
        <v>8.1918427000000002E-2</v>
      </c>
      <c r="G59" s="171">
        <v>999</v>
      </c>
      <c r="H59" s="166" t="s">
        <v>22</v>
      </c>
      <c r="I59" s="171">
        <v>0</v>
      </c>
      <c r="J59" s="166" t="s">
        <v>52</v>
      </c>
      <c r="K59" s="172" t="s">
        <v>283</v>
      </c>
      <c r="L59" s="158" t="s">
        <v>41</v>
      </c>
      <c r="M59" s="3">
        <v>2</v>
      </c>
      <c r="N59" s="3" t="s">
        <v>56</v>
      </c>
      <c r="O59" s="3">
        <f t="shared" si="4"/>
        <v>1</v>
      </c>
      <c r="P59" s="3">
        <f t="shared" si="6"/>
        <v>1</v>
      </c>
    </row>
    <row r="60" spans="1:16" ht="18.75" customHeight="1" x14ac:dyDescent="0.35">
      <c r="A60" s="159">
        <v>54366</v>
      </c>
      <c r="B60" s="160" t="s">
        <v>299</v>
      </c>
      <c r="C60" s="159" t="s">
        <v>297</v>
      </c>
      <c r="D60" s="161">
        <v>0.75</v>
      </c>
      <c r="E60" s="162">
        <v>6.1800000000000001E-2</v>
      </c>
      <c r="F60" s="163">
        <v>8.2248036999999996E-2</v>
      </c>
      <c r="G60" s="164">
        <v>0</v>
      </c>
      <c r="H60" s="159" t="s">
        <v>22</v>
      </c>
      <c r="I60" s="164">
        <v>0</v>
      </c>
      <c r="J60" s="159" t="s">
        <v>52</v>
      </c>
      <c r="K60" s="165" t="s">
        <v>283</v>
      </c>
      <c r="L60" s="158" t="s">
        <v>41</v>
      </c>
      <c r="M60" s="3">
        <v>2</v>
      </c>
      <c r="N60" s="3" t="s">
        <v>56</v>
      </c>
      <c r="O60" s="3">
        <f t="shared" si="4"/>
        <v>1</v>
      </c>
      <c r="P60" s="3">
        <f t="shared" si="6"/>
        <v>1</v>
      </c>
    </row>
    <row r="61" spans="1:16" ht="18.75" customHeight="1" x14ac:dyDescent="0.35">
      <c r="A61" s="166">
        <v>54374</v>
      </c>
      <c r="B61" s="167" t="s">
        <v>299</v>
      </c>
      <c r="C61" s="166" t="s">
        <v>297</v>
      </c>
      <c r="D61" s="168">
        <v>1.25</v>
      </c>
      <c r="E61" s="169">
        <v>6.8400000000000002E-2</v>
      </c>
      <c r="F61" s="170">
        <v>8.3414974000000003E-2</v>
      </c>
      <c r="G61" s="171">
        <v>0</v>
      </c>
      <c r="H61" s="166" t="s">
        <v>22</v>
      </c>
      <c r="I61" s="171">
        <v>0</v>
      </c>
      <c r="J61" s="166" t="s">
        <v>52</v>
      </c>
      <c r="K61" s="172" t="s">
        <v>283</v>
      </c>
      <c r="L61" s="158" t="s">
        <v>41</v>
      </c>
      <c r="M61" s="3">
        <v>2</v>
      </c>
      <c r="N61" s="3" t="s">
        <v>56</v>
      </c>
      <c r="O61" s="3">
        <f t="shared" si="4"/>
        <v>1</v>
      </c>
      <c r="P61" s="3">
        <f t="shared" si="6"/>
        <v>1</v>
      </c>
    </row>
    <row r="62" spans="1:16" ht="18.75" customHeight="1" x14ac:dyDescent="0.35">
      <c r="A62" s="159">
        <v>54357</v>
      </c>
      <c r="B62" s="160" t="s">
        <v>302</v>
      </c>
      <c r="C62" s="159" t="s">
        <v>297</v>
      </c>
      <c r="D62" s="161">
        <v>0.6</v>
      </c>
      <c r="E62" s="162">
        <v>4.19E-2</v>
      </c>
      <c r="F62" s="163">
        <v>7.2853292E-2</v>
      </c>
      <c r="G62" s="164">
        <v>999</v>
      </c>
      <c r="H62" s="159" t="s">
        <v>22</v>
      </c>
      <c r="I62" s="164">
        <v>0</v>
      </c>
      <c r="J62" s="159" t="s">
        <v>52</v>
      </c>
      <c r="K62" s="165" t="s">
        <v>284</v>
      </c>
      <c r="L62" s="158" t="s">
        <v>41</v>
      </c>
      <c r="M62" s="3">
        <v>5</v>
      </c>
      <c r="N62" s="3" t="s">
        <v>56</v>
      </c>
      <c r="O62" s="3">
        <f t="shared" si="4"/>
        <v>1</v>
      </c>
      <c r="P62" s="3">
        <f t="shared" si="6"/>
        <v>1</v>
      </c>
    </row>
    <row r="63" spans="1:16" ht="18.75" customHeight="1" x14ac:dyDescent="0.35">
      <c r="A63" s="166">
        <v>54371</v>
      </c>
      <c r="B63" s="167" t="s">
        <v>303</v>
      </c>
      <c r="C63" s="166" t="s">
        <v>297</v>
      </c>
      <c r="D63" s="168">
        <v>0.6</v>
      </c>
      <c r="E63" s="169">
        <v>4.3799999999999999E-2</v>
      </c>
      <c r="F63" s="170">
        <v>7.2824945000000002E-2</v>
      </c>
      <c r="G63" s="171">
        <v>0</v>
      </c>
      <c r="H63" s="166" t="s">
        <v>22</v>
      </c>
      <c r="I63" s="171">
        <v>0</v>
      </c>
      <c r="J63" s="166" t="s">
        <v>52</v>
      </c>
      <c r="K63" s="172" t="s">
        <v>284</v>
      </c>
      <c r="L63" s="158" t="s">
        <v>41</v>
      </c>
      <c r="M63" s="3">
        <v>5</v>
      </c>
      <c r="N63" s="3" t="s">
        <v>56</v>
      </c>
      <c r="O63" s="3">
        <f t="shared" si="4"/>
        <v>1</v>
      </c>
      <c r="P63" s="3">
        <f t="shared" si="6"/>
        <v>1</v>
      </c>
    </row>
    <row r="64" spans="1:16" ht="18.75" customHeight="1" x14ac:dyDescent="0.35">
      <c r="A64" s="159">
        <v>54356</v>
      </c>
      <c r="B64" s="160" t="s">
        <v>302</v>
      </c>
      <c r="C64" s="159" t="s">
        <v>297</v>
      </c>
      <c r="D64" s="161">
        <v>0.75</v>
      </c>
      <c r="E64" s="162">
        <v>5.4600000000000003E-2</v>
      </c>
      <c r="F64" s="163">
        <v>7.7411056000000006E-2</v>
      </c>
      <c r="G64" s="164">
        <v>999</v>
      </c>
      <c r="H64" s="159" t="s">
        <v>22</v>
      </c>
      <c r="I64" s="164">
        <v>0</v>
      </c>
      <c r="J64" s="159" t="s">
        <v>52</v>
      </c>
      <c r="K64" s="165" t="s">
        <v>284</v>
      </c>
      <c r="L64" s="158" t="s">
        <v>41</v>
      </c>
      <c r="M64" s="3">
        <v>5</v>
      </c>
      <c r="N64" s="3" t="s">
        <v>56</v>
      </c>
      <c r="O64" s="3">
        <f t="shared" si="4"/>
        <v>1</v>
      </c>
      <c r="P64" s="3">
        <f t="shared" si="6"/>
        <v>1</v>
      </c>
    </row>
    <row r="65" spans="1:16" ht="18.75" customHeight="1" thickBot="1" x14ac:dyDescent="0.4">
      <c r="A65" s="166">
        <v>54359</v>
      </c>
      <c r="B65" s="167" t="s">
        <v>303</v>
      </c>
      <c r="C65" s="166" t="s">
        <v>297</v>
      </c>
      <c r="D65" s="168">
        <v>0.75</v>
      </c>
      <c r="E65" s="169">
        <v>5.57E-2</v>
      </c>
      <c r="F65" s="170">
        <v>7.7078738999999993E-2</v>
      </c>
      <c r="G65" s="171">
        <v>0</v>
      </c>
      <c r="H65" s="166" t="s">
        <v>22</v>
      </c>
      <c r="I65" s="171">
        <v>0</v>
      </c>
      <c r="J65" s="166" t="s">
        <v>52</v>
      </c>
      <c r="K65" s="172" t="s">
        <v>284</v>
      </c>
      <c r="L65" s="158" t="s">
        <v>41</v>
      </c>
      <c r="M65" s="3">
        <v>5</v>
      </c>
      <c r="N65" s="3" t="s">
        <v>56</v>
      </c>
      <c r="O65" s="3">
        <f t="shared" si="4"/>
        <v>1</v>
      </c>
      <c r="P65" s="3">
        <f t="shared" si="6"/>
        <v>1</v>
      </c>
    </row>
    <row r="66" spans="1:16" ht="18.75" customHeight="1" x14ac:dyDescent="0.35">
      <c r="A66" s="253" t="s">
        <v>42</v>
      </c>
      <c r="B66" s="253"/>
      <c r="C66" s="209" t="s">
        <v>214</v>
      </c>
      <c r="D66" s="210"/>
      <c r="E66" s="210"/>
      <c r="F66" s="210"/>
      <c r="G66" s="210"/>
      <c r="H66" s="210"/>
      <c r="I66" s="210"/>
      <c r="J66" s="210"/>
      <c r="K66" s="210"/>
      <c r="L66" s="1" t="s">
        <v>38</v>
      </c>
      <c r="M66" s="1">
        <v>0</v>
      </c>
      <c r="N66" s="1">
        <v>0</v>
      </c>
      <c r="O66" s="1">
        <f>IF(SUM(O67:O71)=0,0,1)</f>
        <v>1</v>
      </c>
      <c r="P66" s="1">
        <f>IF(SUM(P67:P71)=0,0,1)</f>
        <v>1</v>
      </c>
    </row>
    <row r="67" spans="1:16" ht="18.75" customHeight="1" x14ac:dyDescent="0.35">
      <c r="A67" s="166">
        <v>54299</v>
      </c>
      <c r="B67" s="167" t="s">
        <v>299</v>
      </c>
      <c r="C67" s="166" t="s">
        <v>297</v>
      </c>
      <c r="D67" s="168">
        <v>0.6</v>
      </c>
      <c r="E67" s="169">
        <v>5.5899999999999998E-2</v>
      </c>
      <c r="F67" s="170">
        <v>8.1222053000000002E-2</v>
      </c>
      <c r="G67" s="171">
        <v>0</v>
      </c>
      <c r="H67" s="166" t="s">
        <v>22</v>
      </c>
      <c r="I67" s="171">
        <v>0</v>
      </c>
      <c r="J67" s="166" t="s">
        <v>52</v>
      </c>
      <c r="K67" s="172" t="s">
        <v>283</v>
      </c>
      <c r="L67" s="158" t="s">
        <v>38</v>
      </c>
      <c r="M67" s="3">
        <v>2</v>
      </c>
      <c r="N67" s="3" t="s">
        <v>56</v>
      </c>
      <c r="O67" s="3">
        <f t="shared" ref="O67:O71" si="7">IF($C$11="More than or equal to",IF(AND(OR($C$8="",$C$8=L67),OR($C$9="",C67="Purchase &amp; Remortgage",$C$9=C67),OR($C$10="",$C$10=N67),OR($C$12="",$C$12&lt;=D67),OR($C$13="",$C$13=M67),OR($C$14="",$C$14=H67),OR($C$15="",$C$15=I67)),1,0),IF($C$11="Less than or equal to",IF(AND(OR($C$8="",$C$8=L67),OR($C$9="",C67="Purchase &amp; Remortgage",$C$9=C67),OR($C$10="",$C$10=N67),OR($C$12="",$C$12&gt;=D67),OR($C$13="",$C$13=M67),OR($C$14="",$C$14=H67),OR($C$15="",$C$15=I67)),1,0),IF(AND(OR($C$8="",$C$8=L67),OR($C$9="",C67="Purchase &amp; Remortgage",$C$9=C67),OR($C$10="",$C$10=N67),OR($C$12="",$C$12=D67),OR($C$13="",$C$13=M67),OR($C$14="",$C$14=H67),OR($C$15="",$C$15=I67)),1,0)))</f>
        <v>1</v>
      </c>
      <c r="P67" s="3">
        <f t="shared" ref="P67:P83" si="8">IF(A67=0,0,1)</f>
        <v>1</v>
      </c>
    </row>
    <row r="68" spans="1:16" ht="18.75" customHeight="1" x14ac:dyDescent="0.35">
      <c r="A68" s="159">
        <v>54301</v>
      </c>
      <c r="B68" s="160" t="s">
        <v>299</v>
      </c>
      <c r="C68" s="159" t="s">
        <v>297</v>
      </c>
      <c r="D68" s="161">
        <v>0.75</v>
      </c>
      <c r="E68" s="162">
        <v>6.7000000000000004E-2</v>
      </c>
      <c r="F68" s="163">
        <v>8.3165947000000004E-2</v>
      </c>
      <c r="G68" s="164">
        <v>0</v>
      </c>
      <c r="H68" s="159" t="s">
        <v>22</v>
      </c>
      <c r="I68" s="164">
        <v>0</v>
      </c>
      <c r="J68" s="159" t="s">
        <v>52</v>
      </c>
      <c r="K68" s="165" t="s">
        <v>283</v>
      </c>
      <c r="L68" s="158" t="s">
        <v>38</v>
      </c>
      <c r="M68" s="3">
        <v>2</v>
      </c>
      <c r="N68" s="3" t="s">
        <v>56</v>
      </c>
      <c r="O68" s="3">
        <f t="shared" si="7"/>
        <v>1</v>
      </c>
      <c r="P68" s="3">
        <f t="shared" si="8"/>
        <v>1</v>
      </c>
    </row>
    <row r="69" spans="1:16" ht="18.75" customHeight="1" x14ac:dyDescent="0.35">
      <c r="A69" s="166">
        <v>54300</v>
      </c>
      <c r="B69" s="167" t="s">
        <v>299</v>
      </c>
      <c r="C69" s="166" t="s">
        <v>297</v>
      </c>
      <c r="D69" s="168">
        <v>1.25</v>
      </c>
      <c r="E69" s="169">
        <v>7.0400000000000004E-2</v>
      </c>
      <c r="F69" s="170">
        <v>8.3772844999999999E-2</v>
      </c>
      <c r="G69" s="171">
        <v>0</v>
      </c>
      <c r="H69" s="166" t="s">
        <v>22</v>
      </c>
      <c r="I69" s="171">
        <v>0</v>
      </c>
      <c r="J69" s="166" t="s">
        <v>52</v>
      </c>
      <c r="K69" s="172" t="s">
        <v>283</v>
      </c>
      <c r="L69" s="158" t="s">
        <v>38</v>
      </c>
      <c r="M69" s="3">
        <v>2</v>
      </c>
      <c r="N69" s="3" t="s">
        <v>56</v>
      </c>
      <c r="O69" s="3">
        <f t="shared" si="7"/>
        <v>1</v>
      </c>
      <c r="P69" s="3">
        <f t="shared" si="8"/>
        <v>1</v>
      </c>
    </row>
    <row r="70" spans="1:16" ht="18.75" customHeight="1" x14ac:dyDescent="0.35">
      <c r="A70" s="159">
        <v>54298</v>
      </c>
      <c r="B70" s="160" t="s">
        <v>303</v>
      </c>
      <c r="C70" s="159" t="s">
        <v>297</v>
      </c>
      <c r="D70" s="161">
        <v>0.6</v>
      </c>
      <c r="E70" s="162">
        <v>5.1400000000000001E-2</v>
      </c>
      <c r="F70" s="163">
        <v>7.5514652000000002E-2</v>
      </c>
      <c r="G70" s="164">
        <v>0</v>
      </c>
      <c r="H70" s="159" t="s">
        <v>22</v>
      </c>
      <c r="I70" s="164">
        <v>0</v>
      </c>
      <c r="J70" s="159" t="s">
        <v>52</v>
      </c>
      <c r="K70" s="165" t="s">
        <v>284</v>
      </c>
      <c r="L70" s="158" t="s">
        <v>38</v>
      </c>
      <c r="M70" s="3">
        <v>5</v>
      </c>
      <c r="N70" s="3" t="s">
        <v>56</v>
      </c>
      <c r="O70" s="3">
        <f t="shared" si="7"/>
        <v>1</v>
      </c>
      <c r="P70" s="3">
        <f t="shared" si="8"/>
        <v>1</v>
      </c>
    </row>
    <row r="71" spans="1:16" ht="18.75" customHeight="1" thickBot="1" x14ac:dyDescent="0.4">
      <c r="A71" s="166">
        <v>54297</v>
      </c>
      <c r="B71" s="167" t="s">
        <v>303</v>
      </c>
      <c r="C71" s="166" t="s">
        <v>297</v>
      </c>
      <c r="D71" s="168">
        <v>0.75</v>
      </c>
      <c r="E71" s="169">
        <v>6.1899999999999997E-2</v>
      </c>
      <c r="F71" s="170">
        <v>7.9392193999999999E-2</v>
      </c>
      <c r="G71" s="171">
        <v>0</v>
      </c>
      <c r="H71" s="166" t="s">
        <v>22</v>
      </c>
      <c r="I71" s="171">
        <v>0</v>
      </c>
      <c r="J71" s="166" t="s">
        <v>52</v>
      </c>
      <c r="K71" s="172" t="s">
        <v>284</v>
      </c>
      <c r="L71" s="158" t="s">
        <v>38</v>
      </c>
      <c r="M71" s="3">
        <v>5</v>
      </c>
      <c r="N71" s="3" t="s">
        <v>56</v>
      </c>
      <c r="O71" s="3">
        <f t="shared" si="7"/>
        <v>1</v>
      </c>
      <c r="P71" s="3">
        <f t="shared" si="8"/>
        <v>1</v>
      </c>
    </row>
    <row r="72" spans="1:16" ht="18.75" customHeight="1" x14ac:dyDescent="0.35">
      <c r="A72" s="253" t="s">
        <v>43</v>
      </c>
      <c r="B72" s="253"/>
      <c r="C72" s="209" t="s">
        <v>214</v>
      </c>
      <c r="D72" s="211"/>
      <c r="E72" s="211"/>
      <c r="F72" s="211"/>
      <c r="G72" s="211"/>
      <c r="H72" s="211"/>
      <c r="I72" s="211"/>
      <c r="J72" s="211"/>
      <c r="K72" s="212"/>
      <c r="L72" s="1" t="s">
        <v>35</v>
      </c>
      <c r="M72" s="1">
        <v>0</v>
      </c>
      <c r="N72" s="1">
        <v>0</v>
      </c>
      <c r="O72" s="1">
        <f>IF(SUM(O73:O79)=0,0,1)</f>
        <v>1</v>
      </c>
      <c r="P72" s="1">
        <f>IF(SUM(P73:P79)=0,0,1)</f>
        <v>1</v>
      </c>
    </row>
    <row r="73" spans="1:16" ht="18.75" customHeight="1" x14ac:dyDescent="0.35">
      <c r="A73" s="159">
        <v>54305</v>
      </c>
      <c r="B73" s="160" t="s">
        <v>299</v>
      </c>
      <c r="C73" s="159" t="s">
        <v>297</v>
      </c>
      <c r="D73" s="161">
        <v>0.85</v>
      </c>
      <c r="E73" s="162">
        <v>4.6399999999999997E-2</v>
      </c>
      <c r="F73" s="163">
        <v>7.7585213E-2</v>
      </c>
      <c r="G73" s="164">
        <v>0</v>
      </c>
      <c r="H73" s="159" t="s">
        <v>22</v>
      </c>
      <c r="I73" s="164">
        <v>0</v>
      </c>
      <c r="J73" s="159" t="s">
        <v>52</v>
      </c>
      <c r="K73" s="165" t="s">
        <v>283</v>
      </c>
      <c r="L73" s="158" t="s">
        <v>35</v>
      </c>
      <c r="M73" s="3">
        <v>2</v>
      </c>
      <c r="N73" s="3" t="s">
        <v>56</v>
      </c>
      <c r="O73" s="3">
        <f>IF($C$11="More than or equal to",IF(AND(OR($C$8="",$C$8=L73),OR($C$9="",C73="Purchase &amp; Remortgage",$C$9=C73),OR($C$10="",$C$10=N73),OR($C$12="",$C$12&lt;=D73),OR($C$13="",$C$13=M73),OR($C$14="",$C$14=H73),OR($C$15="",$C$15=I73)),1,0),IF($C$11="Less than or equal to",IF(AND(OR($C$8="",$C$8=L73),OR($C$9="",C73="Purchase &amp; Remortgage",$C$9=C73),OR($C$10="",$C$10=N73),OR($C$12="",$C$12&gt;=D73),OR($C$13="",$C$13=M73),OR($C$14="",$C$14=H73),OR($C$15="",$C$15=I73)),1,0),IF(AND(OR($C$8="",$C$8=L73),OR($C$9="",C73="Purchase &amp; Remortgage",$C$9=C73),OR($C$10="",$C$10=N73),OR($C$12="",$C$12=D73),OR($C$13="",$C$13=M73),OR($C$14="",$C$14=H73),OR($C$15="",$C$15=I73)),1,0)))</f>
        <v>1</v>
      </c>
      <c r="P73" s="3">
        <f t="shared" si="8"/>
        <v>1</v>
      </c>
    </row>
    <row r="74" spans="1:16" ht="18.75" customHeight="1" x14ac:dyDescent="0.35">
      <c r="A74" s="166">
        <v>54304</v>
      </c>
      <c r="B74" s="167" t="s">
        <v>299</v>
      </c>
      <c r="C74" s="166" t="s">
        <v>297</v>
      </c>
      <c r="D74" s="168">
        <v>0.95</v>
      </c>
      <c r="E74" s="169">
        <v>5.5399999999999998E-2</v>
      </c>
      <c r="F74" s="170">
        <v>7.9103528000000006E-2</v>
      </c>
      <c r="G74" s="171">
        <v>0</v>
      </c>
      <c r="H74" s="166" t="s">
        <v>22</v>
      </c>
      <c r="I74" s="171">
        <v>0</v>
      </c>
      <c r="J74" s="166" t="s">
        <v>52</v>
      </c>
      <c r="K74" s="172" t="s">
        <v>283</v>
      </c>
      <c r="L74" s="158" t="s">
        <v>35</v>
      </c>
      <c r="M74" s="3">
        <v>2</v>
      </c>
      <c r="N74" s="3" t="s">
        <v>56</v>
      </c>
      <c r="O74" s="3">
        <f t="shared" ref="O74:O79" si="9">IF($C$11="More than or equal to",IF(AND(OR($C$8="",$C$8=L74),OR($C$9="",C74="Purchase &amp; Remortgage",$C$9=C74),OR($C$10="",$C$10=N74),OR($C$12="",$C$12&lt;=D74),OR($C$13="",$C$13=M74),OR($C$14="",$C$14=H74),OR($C$15="",$C$15=I74)),1,0),IF($C$11="Less than or equal to",IF(AND(OR($C$8="",$C$8=L74),OR($C$9="",C74="Purchase &amp; Remortgage",$C$9=C74),OR($C$10="",$C$10=N74),OR($C$12="",$C$12&gt;=D74),OR($C$13="",$C$13=M74),OR($C$14="",$C$14=H74),OR($C$15="",$C$15=I74)),1,0),IF(AND(OR($C$8="",$C$8=L74),OR($C$9="",C74="Purchase &amp; Remortgage",$C$9=C74),OR($C$10="",$C$10=N74),OR($C$12="",$C$12=D74),OR($C$13="",$C$13=M74),OR($C$14="",$C$14=H74),OR($C$15="",$C$15=I74)),1,0)))</f>
        <v>1</v>
      </c>
      <c r="P74" s="3">
        <f t="shared" si="8"/>
        <v>1</v>
      </c>
    </row>
    <row r="75" spans="1:16" ht="18.75" customHeight="1" x14ac:dyDescent="0.35">
      <c r="A75" s="159">
        <v>54302</v>
      </c>
      <c r="B75" s="160" t="s">
        <v>299</v>
      </c>
      <c r="C75" s="159" t="s">
        <v>297</v>
      </c>
      <c r="D75" s="161">
        <v>1.5</v>
      </c>
      <c r="E75" s="162">
        <v>6.7900000000000002E-2</v>
      </c>
      <c r="F75" s="163">
        <v>8.1272345999999995E-2</v>
      </c>
      <c r="G75" s="164">
        <v>0</v>
      </c>
      <c r="H75" s="159" t="s">
        <v>22</v>
      </c>
      <c r="I75" s="164">
        <v>0</v>
      </c>
      <c r="J75" s="159" t="s">
        <v>52</v>
      </c>
      <c r="K75" s="165" t="s">
        <v>283</v>
      </c>
      <c r="L75" s="158" t="s">
        <v>35</v>
      </c>
      <c r="M75" s="3">
        <v>2</v>
      </c>
      <c r="N75" s="3" t="s">
        <v>56</v>
      </c>
      <c r="O75" s="3">
        <f t="shared" si="9"/>
        <v>1</v>
      </c>
      <c r="P75" s="3">
        <f t="shared" si="8"/>
        <v>1</v>
      </c>
    </row>
    <row r="76" spans="1:16" ht="18.75" customHeight="1" x14ac:dyDescent="0.35">
      <c r="A76" s="166">
        <v>54306</v>
      </c>
      <c r="B76" s="167" t="s">
        <v>304</v>
      </c>
      <c r="C76" s="166" t="s">
        <v>297</v>
      </c>
      <c r="D76" s="168">
        <v>0.85</v>
      </c>
      <c r="E76" s="169">
        <v>5.2400000000000002E-2</v>
      </c>
      <c r="F76" s="170">
        <v>7.6912498999999995E-2</v>
      </c>
      <c r="G76" s="171">
        <v>0</v>
      </c>
      <c r="H76" s="166" t="s">
        <v>22</v>
      </c>
      <c r="I76" s="171">
        <v>0</v>
      </c>
      <c r="J76" s="166" t="s">
        <v>52</v>
      </c>
      <c r="K76" s="172" t="s">
        <v>285</v>
      </c>
      <c r="L76" s="158" t="s">
        <v>35</v>
      </c>
      <c r="M76" s="3">
        <v>3</v>
      </c>
      <c r="N76" s="3" t="s">
        <v>56</v>
      </c>
      <c r="O76" s="3">
        <f t="shared" si="9"/>
        <v>1</v>
      </c>
      <c r="P76" s="3">
        <f t="shared" si="8"/>
        <v>1</v>
      </c>
    </row>
    <row r="77" spans="1:16" ht="18.75" customHeight="1" x14ac:dyDescent="0.35">
      <c r="A77" s="159">
        <v>54307</v>
      </c>
      <c r="B77" s="160" t="s">
        <v>304</v>
      </c>
      <c r="C77" s="159" t="s">
        <v>297</v>
      </c>
      <c r="D77" s="161">
        <v>0.95</v>
      </c>
      <c r="E77" s="162">
        <v>5.5899999999999998E-2</v>
      </c>
      <c r="F77" s="163">
        <v>7.7754908999999997E-2</v>
      </c>
      <c r="G77" s="164">
        <v>0</v>
      </c>
      <c r="H77" s="159" t="s">
        <v>22</v>
      </c>
      <c r="I77" s="164">
        <v>0</v>
      </c>
      <c r="J77" s="159" t="s">
        <v>52</v>
      </c>
      <c r="K77" s="165" t="s">
        <v>285</v>
      </c>
      <c r="L77" s="158" t="s">
        <v>35</v>
      </c>
      <c r="M77" s="3">
        <v>3</v>
      </c>
      <c r="N77" s="3" t="s">
        <v>56</v>
      </c>
      <c r="O77" s="3">
        <f t="shared" si="9"/>
        <v>1</v>
      </c>
      <c r="P77" s="3">
        <f t="shared" si="8"/>
        <v>1</v>
      </c>
    </row>
    <row r="78" spans="1:16" ht="18.75" customHeight="1" x14ac:dyDescent="0.35">
      <c r="A78" s="166">
        <v>54308</v>
      </c>
      <c r="B78" s="167" t="s">
        <v>303</v>
      </c>
      <c r="C78" s="166" t="s">
        <v>297</v>
      </c>
      <c r="D78" s="168">
        <v>0.85</v>
      </c>
      <c r="E78" s="169">
        <v>4.2900000000000001E-2</v>
      </c>
      <c r="F78" s="170">
        <v>7.0634749999999996E-2</v>
      </c>
      <c r="G78" s="171">
        <v>0</v>
      </c>
      <c r="H78" s="166" t="s">
        <v>22</v>
      </c>
      <c r="I78" s="171">
        <v>0</v>
      </c>
      <c r="J78" s="166" t="s">
        <v>52</v>
      </c>
      <c r="K78" s="172" t="s">
        <v>284</v>
      </c>
      <c r="L78" s="158" t="s">
        <v>35</v>
      </c>
      <c r="M78" s="3">
        <v>5</v>
      </c>
      <c r="N78" s="3" t="s">
        <v>56</v>
      </c>
      <c r="O78" s="3">
        <f t="shared" si="9"/>
        <v>1</v>
      </c>
      <c r="P78" s="3">
        <f t="shared" si="8"/>
        <v>1</v>
      </c>
    </row>
    <row r="79" spans="1:16" ht="18.75" customHeight="1" thickBot="1" x14ac:dyDescent="0.4">
      <c r="A79" s="159">
        <v>54303</v>
      </c>
      <c r="B79" s="160" t="s">
        <v>303</v>
      </c>
      <c r="C79" s="159" t="s">
        <v>297</v>
      </c>
      <c r="D79" s="161">
        <v>0.95</v>
      </c>
      <c r="E79" s="162">
        <v>5.2900000000000003E-2</v>
      </c>
      <c r="F79" s="163">
        <v>7.4155227000000004E-2</v>
      </c>
      <c r="G79" s="164">
        <v>0</v>
      </c>
      <c r="H79" s="159" t="s">
        <v>22</v>
      </c>
      <c r="I79" s="164">
        <v>0</v>
      </c>
      <c r="J79" s="159" t="s">
        <v>52</v>
      </c>
      <c r="K79" s="165" t="s">
        <v>284</v>
      </c>
      <c r="L79" s="158" t="s">
        <v>35</v>
      </c>
      <c r="M79" s="3">
        <v>5</v>
      </c>
      <c r="N79" s="3" t="s">
        <v>56</v>
      </c>
      <c r="O79" s="3">
        <f t="shared" si="9"/>
        <v>1</v>
      </c>
      <c r="P79" s="3">
        <f t="shared" si="8"/>
        <v>1</v>
      </c>
    </row>
    <row r="80" spans="1:16" ht="18.75" customHeight="1" x14ac:dyDescent="0.35">
      <c r="A80" s="253" t="s">
        <v>44</v>
      </c>
      <c r="B80" s="253"/>
      <c r="C80" s="209" t="s">
        <v>214</v>
      </c>
      <c r="D80" s="210"/>
      <c r="E80" s="210"/>
      <c r="F80" s="210"/>
      <c r="G80" s="210"/>
      <c r="H80" s="210"/>
      <c r="I80" s="210"/>
      <c r="J80" s="210"/>
      <c r="K80" s="210"/>
      <c r="L80" s="1" t="s">
        <v>36</v>
      </c>
      <c r="M80" s="1">
        <v>0</v>
      </c>
      <c r="N80" s="1">
        <v>0</v>
      </c>
      <c r="O80" s="1">
        <f>IF(SUM(O81:O83)=0,0,1)</f>
        <v>1</v>
      </c>
      <c r="P80" s="1">
        <f>IF(SUM(P81:P83)=0,0,1)</f>
        <v>1</v>
      </c>
    </row>
    <row r="81" spans="1:16" ht="18.75" customHeight="1" x14ac:dyDescent="0.35">
      <c r="A81" s="159">
        <v>54311</v>
      </c>
      <c r="B81" s="160" t="s">
        <v>299</v>
      </c>
      <c r="C81" s="159" t="s">
        <v>297</v>
      </c>
      <c r="D81" s="161">
        <v>0.75</v>
      </c>
      <c r="E81" s="162">
        <v>5.4399999999999997E-2</v>
      </c>
      <c r="F81" s="163">
        <v>7.8933726999999995E-2</v>
      </c>
      <c r="G81" s="164">
        <v>0</v>
      </c>
      <c r="H81" s="159" t="s">
        <v>22</v>
      </c>
      <c r="I81" s="164">
        <v>0</v>
      </c>
      <c r="J81" s="159" t="s">
        <v>52</v>
      </c>
      <c r="K81" s="165" t="s">
        <v>283</v>
      </c>
      <c r="L81" s="158" t="s">
        <v>36</v>
      </c>
      <c r="M81" s="3">
        <v>2</v>
      </c>
      <c r="N81" s="3" t="s">
        <v>56</v>
      </c>
      <c r="O81" s="3">
        <f>IF($C$11="More than or equal to",IF(AND(OR($C$8="",$C$8=L81),OR($C$9="",C81="Purchase &amp; Remortgage",$C$9=C81),OR($C$10="",$C$10=N81),OR($C$12="",$C$12&lt;=D81),OR($C$13="",$C$13=M81),OR($C$14="",$C$14=H81),OR($C$15="",$C$15=I81)),1,0),IF($C$11="Less than or equal to",IF(AND(OR($C$8="",$C$8=L81),OR($C$9="",C81="Purchase &amp; Remortgage",$C$9=C81),OR($C$10="",$C$10=N81),OR($C$12="",$C$12&gt;=D81),OR($C$13="",$C$13=M81),OR($C$14="",$C$14=H81),OR($C$15="",$C$15=I81)),1,0),IF(AND(OR($C$8="",$C$8=L81),OR($C$9="",C81="Purchase &amp; Remortgage",$C$9=C81),OR($C$10="",$C$10=N81),OR($C$12="",$C$12=D81),OR($C$13="",$C$13=M81),OR($C$14="",$C$14=H81),OR($C$15="",$C$15=I81)),1,0)))</f>
        <v>1</v>
      </c>
      <c r="P81" s="3">
        <f t="shared" si="8"/>
        <v>1</v>
      </c>
    </row>
    <row r="82" spans="1:16" ht="18.75" customHeight="1" x14ac:dyDescent="0.35">
      <c r="A82" s="166">
        <v>54310</v>
      </c>
      <c r="B82" s="167" t="s">
        <v>299</v>
      </c>
      <c r="C82" s="166" t="s">
        <v>297</v>
      </c>
      <c r="D82" s="168">
        <v>0.85</v>
      </c>
      <c r="E82" s="169">
        <v>5.5399999999999998E-2</v>
      </c>
      <c r="F82" s="170">
        <v>7.9104313999999995E-2</v>
      </c>
      <c r="G82" s="171">
        <v>0</v>
      </c>
      <c r="H82" s="166" t="s">
        <v>22</v>
      </c>
      <c r="I82" s="171">
        <v>0</v>
      </c>
      <c r="J82" s="166" t="s">
        <v>52</v>
      </c>
      <c r="K82" s="172" t="s">
        <v>283</v>
      </c>
      <c r="L82" s="158" t="s">
        <v>36</v>
      </c>
      <c r="M82" s="3">
        <v>2</v>
      </c>
      <c r="N82" s="3" t="s">
        <v>56</v>
      </c>
      <c r="O82" s="3">
        <f t="shared" ref="O82:O83" si="10">IF($C$11="More than or equal to",IF(AND(OR($C$8="",$C$8=L82),OR($C$9="",C82="Purchase &amp; Remortgage",$C$9=C82),OR($C$10="",$C$10=N82),OR($C$12="",$C$12&lt;=D82),OR($C$13="",$C$13=M82),OR($C$14="",$C$14=H82),OR($C$15="",$C$15=I82)),1,0),IF($C$11="Less than or equal to",IF(AND(OR($C$8="",$C$8=L82),OR($C$9="",C82="Purchase &amp; Remortgage",$C$9=C82),OR($C$10="",$C$10=N82),OR($C$12="",$C$12&gt;=D82),OR($C$13="",$C$13=M82),OR($C$14="",$C$14=H82),OR($C$15="",$C$15=I82)),1,0),IF(AND(OR($C$8="",$C$8=L82),OR($C$9="",C82="Purchase &amp; Remortgage",$C$9=C82),OR($C$10="",$C$10=N82),OR($C$12="",$C$12=D82),OR($C$13="",$C$13=M82),OR($C$14="",$C$14=H82),OR($C$15="",$C$15=I82)),1,0)))</f>
        <v>1</v>
      </c>
      <c r="P82" s="3">
        <f t="shared" si="8"/>
        <v>1</v>
      </c>
    </row>
    <row r="83" spans="1:16" ht="18.75" customHeight="1" thickBot="1" x14ac:dyDescent="0.4">
      <c r="A83" s="159">
        <v>54309</v>
      </c>
      <c r="B83" s="160" t="s">
        <v>299</v>
      </c>
      <c r="C83" s="159" t="s">
        <v>297</v>
      </c>
      <c r="D83" s="161">
        <v>1.25</v>
      </c>
      <c r="E83" s="162">
        <v>6.7900000000000002E-2</v>
      </c>
      <c r="F83" s="163">
        <v>8.1272875999999994E-2</v>
      </c>
      <c r="G83" s="164">
        <v>0</v>
      </c>
      <c r="H83" s="159" t="s">
        <v>22</v>
      </c>
      <c r="I83" s="164">
        <v>0</v>
      </c>
      <c r="J83" s="159" t="s">
        <v>52</v>
      </c>
      <c r="K83" s="165" t="s">
        <v>283</v>
      </c>
      <c r="L83" s="158" t="s">
        <v>36</v>
      </c>
      <c r="M83" s="3">
        <v>2</v>
      </c>
      <c r="N83" s="3" t="s">
        <v>56</v>
      </c>
      <c r="O83" s="3">
        <f t="shared" si="10"/>
        <v>1</v>
      </c>
      <c r="P83" s="3">
        <f t="shared" si="8"/>
        <v>1</v>
      </c>
    </row>
    <row r="84" spans="1:16" ht="18.75" customHeight="1" x14ac:dyDescent="0.35">
      <c r="A84" s="253" t="s">
        <v>46</v>
      </c>
      <c r="B84" s="253"/>
      <c r="C84" s="209" t="s">
        <v>214</v>
      </c>
      <c r="D84" s="210"/>
      <c r="E84" s="210"/>
      <c r="F84" s="210"/>
      <c r="G84" s="210"/>
      <c r="H84" s="210"/>
      <c r="I84" s="210"/>
      <c r="J84" s="210"/>
      <c r="K84" s="210"/>
      <c r="L84" s="1" t="s">
        <v>47</v>
      </c>
      <c r="M84" s="1">
        <v>0</v>
      </c>
      <c r="N84" s="1">
        <v>0</v>
      </c>
      <c r="O84" s="1">
        <f>IF(SUM(O85:O86)=0,0,1)</f>
        <v>1</v>
      </c>
      <c r="P84" s="1">
        <f>IF(SUM(P85:P86)=0,0,1)</f>
        <v>1</v>
      </c>
    </row>
    <row r="85" spans="1:16" ht="18.75" customHeight="1" x14ac:dyDescent="0.35">
      <c r="A85" s="159">
        <v>54312</v>
      </c>
      <c r="B85" s="160" t="s">
        <v>299</v>
      </c>
      <c r="C85" s="159" t="s">
        <v>297</v>
      </c>
      <c r="D85" s="161">
        <v>0.75</v>
      </c>
      <c r="E85" s="162">
        <v>5.4399999999999997E-2</v>
      </c>
      <c r="F85" s="163">
        <v>7.8933726999999995E-2</v>
      </c>
      <c r="G85" s="164">
        <v>0</v>
      </c>
      <c r="H85" s="159" t="s">
        <v>22</v>
      </c>
      <c r="I85" s="164">
        <v>0</v>
      </c>
      <c r="J85" s="159" t="s">
        <v>52</v>
      </c>
      <c r="K85" s="165" t="s">
        <v>283</v>
      </c>
      <c r="L85" s="158" t="s">
        <v>47</v>
      </c>
      <c r="M85" s="3">
        <v>2</v>
      </c>
      <c r="N85" s="3" t="s">
        <v>56</v>
      </c>
      <c r="O85" s="3">
        <f>IF($C$11="More than or equal to",IF(AND(OR($C$8="",$C$8=L85),OR($C$9="",C85="Purchase &amp; Remortgage",$C$9=C85),OR($C$10="",$C$10=N85),OR($C$12="",$C$12&lt;=D85),OR($C$13="",$C$13=M85),OR($C$14="",$C$14=H85),OR($C$15="",$C$15=I85)),1,0),IF($C$11="Less than or equal to",IF(AND(OR($C$8="",$C$8=L85),OR($C$9="",C85="Purchase &amp; Remortgage",$C$9=C85),OR($C$10="",$C$10=N85),OR($C$12="",$C$12&gt;=D85),OR($C$13="",$C$13=M85),OR($C$14="",$C$14=H85),OR($C$15="",$C$15=I85)),1,0),IF(AND(OR($C$8="",$C$8=L85),OR($C$9="",C85="Purchase &amp; Remortgage",$C$9=C85),OR($C$10="",$C$10=N85),OR($C$12="",$C$12=D85),OR($C$13="",$C$13=M85),OR($C$14="",$C$14=H85),OR($C$15="",$C$15=I85)),1,0)))</f>
        <v>1</v>
      </c>
      <c r="P85" s="3">
        <f t="shared" ref="P85:P86" si="11">IF(A85=0,0,1)</f>
        <v>1</v>
      </c>
    </row>
    <row r="86" spans="1:16" ht="18.75" customHeight="1" thickBot="1" x14ac:dyDescent="0.4">
      <c r="A86" s="166">
        <v>54313</v>
      </c>
      <c r="B86" s="167" t="s">
        <v>299</v>
      </c>
      <c r="C86" s="166" t="s">
        <v>297</v>
      </c>
      <c r="D86" s="168">
        <v>0.85</v>
      </c>
      <c r="E86" s="169">
        <v>5.5399999999999998E-2</v>
      </c>
      <c r="F86" s="170">
        <v>7.9104313999999995E-2</v>
      </c>
      <c r="G86" s="171">
        <v>0</v>
      </c>
      <c r="H86" s="166" t="s">
        <v>22</v>
      </c>
      <c r="I86" s="171">
        <v>0</v>
      </c>
      <c r="J86" s="166" t="s">
        <v>52</v>
      </c>
      <c r="K86" s="172" t="s">
        <v>283</v>
      </c>
      <c r="L86" s="158" t="s">
        <v>47</v>
      </c>
      <c r="M86" s="3">
        <v>2</v>
      </c>
      <c r="N86" s="3" t="s">
        <v>56</v>
      </c>
      <c r="O86" s="3">
        <f t="shared" ref="O86" si="12">IF($C$11="More than or equal to",IF(AND(OR($C$8="",$C$8=L86),OR($C$9="",C86="Purchase &amp; Remortgage",$C$9=C86),OR($C$10="",$C$10=N86),OR($C$12="",$C$12&lt;=D86),OR($C$13="",$C$13=M86),OR($C$14="",$C$14=H86),OR($C$15="",$C$15=I86)),1,0),IF($C$11="Less than or equal to",IF(AND(OR($C$8="",$C$8=L86),OR($C$9="",C86="Purchase &amp; Remortgage",$C$9=C86),OR($C$10="",$C$10=N86),OR($C$12="",$C$12&gt;=D86),OR($C$13="",$C$13=M86),OR($C$14="",$C$14=H86),OR($C$15="",$C$15=I86)),1,0),IF(AND(OR($C$8="",$C$8=L86),OR($C$9="",C86="Purchase &amp; Remortgage",$C$9=C86),OR($C$10="",$C$10=N86),OR($C$12="",$C$12=D86),OR($C$13="",$C$13=M86),OR($C$14="",$C$14=H86),OR($C$15="",$C$15=I86)),1,0)))</f>
        <v>1</v>
      </c>
      <c r="P86" s="3">
        <f t="shared" si="11"/>
        <v>1</v>
      </c>
    </row>
    <row r="87" spans="1:16" ht="18.75" customHeight="1" x14ac:dyDescent="0.35">
      <c r="A87" s="253" t="s">
        <v>91</v>
      </c>
      <c r="B87" s="253"/>
      <c r="C87" s="209" t="s">
        <v>214</v>
      </c>
      <c r="D87" s="210"/>
      <c r="E87" s="210"/>
      <c r="F87" s="210"/>
      <c r="G87" s="210"/>
      <c r="H87" s="210"/>
      <c r="I87" s="210"/>
      <c r="J87" s="210"/>
      <c r="K87" s="210"/>
      <c r="L87" s="1" t="s">
        <v>89</v>
      </c>
      <c r="M87" s="1">
        <v>0</v>
      </c>
      <c r="N87" s="1">
        <v>0</v>
      </c>
      <c r="O87" s="1">
        <f>IF(SUM(O88:O92)=0,0,1)</f>
        <v>1</v>
      </c>
      <c r="P87" s="1">
        <f>IF(SUM(P88:P92)=0,0,1)</f>
        <v>1</v>
      </c>
    </row>
    <row r="88" spans="1:16" ht="18.75" customHeight="1" x14ac:dyDescent="0.35">
      <c r="A88" s="159">
        <v>54316</v>
      </c>
      <c r="B88" s="160" t="s">
        <v>298</v>
      </c>
      <c r="C88" s="159" t="s">
        <v>297</v>
      </c>
      <c r="D88" s="161">
        <v>0.75</v>
      </c>
      <c r="E88" s="162">
        <v>6.2399999999999997E-2</v>
      </c>
      <c r="F88" s="163">
        <v>8.2787534999999995E-2</v>
      </c>
      <c r="G88" s="164">
        <v>999</v>
      </c>
      <c r="H88" s="159" t="s">
        <v>22</v>
      </c>
      <c r="I88" s="164">
        <v>0</v>
      </c>
      <c r="J88" s="159" t="s">
        <v>52</v>
      </c>
      <c r="K88" s="165" t="s">
        <v>283</v>
      </c>
      <c r="L88" s="158" t="s">
        <v>89</v>
      </c>
      <c r="M88" s="3">
        <v>2</v>
      </c>
      <c r="N88" s="3" t="s">
        <v>56</v>
      </c>
      <c r="O88" s="3">
        <f>IF($C$11="More than or equal to",IF(AND(OR($C$8="",$C$8=L88),OR($C$9="",C88="Purchase &amp; Remortgage",$C$9=C88),OR($C$10="",$C$10=N88),OR($C$12="",$C$12&lt;=D88),OR($C$13="",$C$13=M88),OR($C$14="",$C$14=H88),OR($C$15="",$C$15=I88)),1,0),IF($C$11="Less than or equal to",IF(AND(OR($C$8="",$C$8=L88),OR($C$9="",C88="Purchase &amp; Remortgage",$C$9=C88),OR($C$10="",$C$10=N88),OR($C$12="",$C$12&gt;=D88),OR($C$13="",$C$13=M88),OR($C$14="",$C$14=H88),OR($C$15="",$C$15=I88)),1,0),IF(AND(OR($C$8="",$C$8=L88),OR($C$9="",C88="Purchase &amp; Remortgage",$C$9=C88),OR($C$10="",$C$10=N88),OR($C$12="",$C$12=D88),OR($C$13="",$C$13=M88),OR($C$14="",$C$14=H88),OR($C$15="",$C$15=I88)),1,0)))</f>
        <v>1</v>
      </c>
      <c r="P88" s="3">
        <f>IF(A88=0,0,1)</f>
        <v>1</v>
      </c>
    </row>
    <row r="89" spans="1:16" ht="18.75" customHeight="1" x14ac:dyDescent="0.35">
      <c r="A89" s="166">
        <v>54318</v>
      </c>
      <c r="B89" s="167" t="s">
        <v>299</v>
      </c>
      <c r="C89" s="166" t="s">
        <v>297</v>
      </c>
      <c r="D89" s="168">
        <v>0.75</v>
      </c>
      <c r="E89" s="169">
        <v>6.54E-2</v>
      </c>
      <c r="F89" s="170">
        <v>8.2882235999999998E-2</v>
      </c>
      <c r="G89" s="171">
        <v>0</v>
      </c>
      <c r="H89" s="166" t="s">
        <v>22</v>
      </c>
      <c r="I89" s="171">
        <v>0</v>
      </c>
      <c r="J89" s="166" t="s">
        <v>52</v>
      </c>
      <c r="K89" s="172" t="s">
        <v>283</v>
      </c>
      <c r="L89" s="158" t="s">
        <v>89</v>
      </c>
      <c r="M89" s="3">
        <v>2</v>
      </c>
      <c r="N89" s="3" t="s">
        <v>56</v>
      </c>
      <c r="O89" s="3">
        <f t="shared" ref="O89:O98" si="13">IF($C$11="More than or equal to",IF(AND(OR($C$8="",$C$8=L89),OR($C$9="",C89="Purchase &amp; Remortgage",$C$9=C89),OR($C$10="",$C$10=N89),OR($C$12="",$C$12&lt;=D89),OR($C$13="",$C$13=M89),OR($C$14="",$C$14=H89),OR($C$15="",$C$15=I89)),1,0),IF($C$11="Less than or equal to",IF(AND(OR($C$8="",$C$8=L89),OR($C$9="",C89="Purchase &amp; Remortgage",$C$9=C89),OR($C$10="",$C$10=N89),OR($C$12="",$C$12&gt;=D89),OR($C$13="",$C$13=M89),OR($C$14="",$C$14=H89),OR($C$15="",$C$15=I89)),1,0),IF(AND(OR($C$8="",$C$8=L89),OR($C$9="",C89="Purchase &amp; Remortgage",$C$9=C89),OR($C$10="",$C$10=N89),OR($C$12="",$C$12=D89),OR($C$13="",$C$13=M89),OR($C$14="",$C$14=H89),OR($C$15="",$C$15=I89)),1,0)))</f>
        <v>1</v>
      </c>
      <c r="P89" s="3">
        <f t="shared" ref="P89:P92" si="14">IF(A89=0,0,1)</f>
        <v>1</v>
      </c>
    </row>
    <row r="90" spans="1:16" ht="18.75" customHeight="1" x14ac:dyDescent="0.35">
      <c r="A90" s="159">
        <v>54315</v>
      </c>
      <c r="B90" s="160" t="s">
        <v>299</v>
      </c>
      <c r="C90" s="159" t="s">
        <v>297</v>
      </c>
      <c r="D90" s="161">
        <v>1.25</v>
      </c>
      <c r="E90" s="162">
        <v>7.5899999999999995E-2</v>
      </c>
      <c r="F90" s="163">
        <v>8.4766320000000006E-2</v>
      </c>
      <c r="G90" s="164">
        <v>0</v>
      </c>
      <c r="H90" s="159" t="s">
        <v>22</v>
      </c>
      <c r="I90" s="164">
        <v>0</v>
      </c>
      <c r="J90" s="159" t="s">
        <v>52</v>
      </c>
      <c r="K90" s="165" t="s">
        <v>283</v>
      </c>
      <c r="L90" s="158" t="s">
        <v>89</v>
      </c>
      <c r="M90" s="3">
        <v>2</v>
      </c>
      <c r="N90" s="3" t="s">
        <v>56</v>
      </c>
      <c r="O90" s="3">
        <f t="shared" si="13"/>
        <v>1</v>
      </c>
      <c r="P90" s="3">
        <f t="shared" si="14"/>
        <v>1</v>
      </c>
    </row>
    <row r="91" spans="1:16" ht="18.75" customHeight="1" x14ac:dyDescent="0.35">
      <c r="A91" s="166">
        <v>54317</v>
      </c>
      <c r="B91" s="167" t="s">
        <v>302</v>
      </c>
      <c r="C91" s="166" t="s">
        <v>297</v>
      </c>
      <c r="D91" s="168">
        <v>0.75</v>
      </c>
      <c r="E91" s="169">
        <v>5.79E-2</v>
      </c>
      <c r="F91" s="170">
        <v>7.8265314000000002E-2</v>
      </c>
      <c r="G91" s="171">
        <v>999</v>
      </c>
      <c r="H91" s="166" t="s">
        <v>22</v>
      </c>
      <c r="I91" s="171">
        <v>0</v>
      </c>
      <c r="J91" s="166" t="s">
        <v>52</v>
      </c>
      <c r="K91" s="172" t="s">
        <v>284</v>
      </c>
      <c r="L91" s="158" t="s">
        <v>89</v>
      </c>
      <c r="M91" s="3">
        <v>5</v>
      </c>
      <c r="N91" s="3" t="s">
        <v>56</v>
      </c>
      <c r="O91" s="3">
        <f t="shared" si="13"/>
        <v>1</v>
      </c>
      <c r="P91" s="3">
        <f t="shared" si="14"/>
        <v>1</v>
      </c>
    </row>
    <row r="92" spans="1:16" ht="18.75" customHeight="1" thickBot="1" x14ac:dyDescent="0.4">
      <c r="A92" s="159">
        <v>54314</v>
      </c>
      <c r="B92" s="160" t="s">
        <v>303</v>
      </c>
      <c r="C92" s="159" t="s">
        <v>297</v>
      </c>
      <c r="D92" s="161">
        <v>0.75</v>
      </c>
      <c r="E92" s="162">
        <v>5.9900000000000002E-2</v>
      </c>
      <c r="F92" s="163">
        <v>7.8638565999999993E-2</v>
      </c>
      <c r="G92" s="164">
        <v>0</v>
      </c>
      <c r="H92" s="159" t="s">
        <v>22</v>
      </c>
      <c r="I92" s="164">
        <v>0</v>
      </c>
      <c r="J92" s="159" t="s">
        <v>52</v>
      </c>
      <c r="K92" s="165" t="s">
        <v>284</v>
      </c>
      <c r="L92" s="158" t="s">
        <v>89</v>
      </c>
      <c r="M92" s="3">
        <v>5</v>
      </c>
      <c r="N92" s="3" t="s">
        <v>56</v>
      </c>
      <c r="O92" s="3">
        <f t="shared" si="13"/>
        <v>1</v>
      </c>
      <c r="P92" s="3">
        <f t="shared" si="14"/>
        <v>1</v>
      </c>
    </row>
    <row r="93" spans="1:16" ht="18.75" customHeight="1" x14ac:dyDescent="0.35">
      <c r="A93" s="253" t="s">
        <v>92</v>
      </c>
      <c r="B93" s="253"/>
      <c r="C93" s="209" t="s">
        <v>214</v>
      </c>
      <c r="D93" s="210"/>
      <c r="E93" s="210"/>
      <c r="F93" s="210"/>
      <c r="G93" s="210"/>
      <c r="H93" s="210"/>
      <c r="I93" s="210"/>
      <c r="J93" s="210"/>
      <c r="K93" s="210"/>
      <c r="L93" s="1" t="s">
        <v>90</v>
      </c>
      <c r="M93" s="1">
        <v>0</v>
      </c>
      <c r="N93" s="1">
        <v>0</v>
      </c>
      <c r="O93" s="1">
        <f>IF(SUM(O94:O98)=0,0,1)</f>
        <v>1</v>
      </c>
      <c r="P93" s="1">
        <f>IF(SUM(P94:P98)=0,0,1)</f>
        <v>1</v>
      </c>
    </row>
    <row r="94" spans="1:16" ht="18.75" customHeight="1" x14ac:dyDescent="0.35">
      <c r="A94" s="159">
        <v>54321</v>
      </c>
      <c r="B94" s="160" t="s">
        <v>298</v>
      </c>
      <c r="C94" s="159" t="s">
        <v>297</v>
      </c>
      <c r="D94" s="161">
        <v>0.75</v>
      </c>
      <c r="E94" s="162">
        <v>6.8400000000000002E-2</v>
      </c>
      <c r="F94" s="163">
        <v>8.3856612999999997E-2</v>
      </c>
      <c r="G94" s="164">
        <v>999</v>
      </c>
      <c r="H94" s="159" t="s">
        <v>22</v>
      </c>
      <c r="I94" s="164">
        <v>0</v>
      </c>
      <c r="J94" s="159" t="s">
        <v>52</v>
      </c>
      <c r="K94" s="165" t="s">
        <v>283</v>
      </c>
      <c r="L94" s="158" t="s">
        <v>90</v>
      </c>
      <c r="M94" s="3">
        <v>2</v>
      </c>
      <c r="N94" s="3" t="s">
        <v>56</v>
      </c>
      <c r="O94" s="3">
        <f t="shared" si="13"/>
        <v>1</v>
      </c>
      <c r="P94" s="3">
        <f>IF(A94=0,0,1)</f>
        <v>1</v>
      </c>
    </row>
    <row r="95" spans="1:16" ht="18.75" customHeight="1" x14ac:dyDescent="0.35">
      <c r="A95" s="166">
        <v>54322</v>
      </c>
      <c r="B95" s="167" t="s">
        <v>299</v>
      </c>
      <c r="C95" s="166" t="s">
        <v>297</v>
      </c>
      <c r="D95" s="168">
        <v>0.75</v>
      </c>
      <c r="E95" s="169">
        <v>7.0400000000000004E-2</v>
      </c>
      <c r="F95" s="170">
        <v>8.3772953999999997E-2</v>
      </c>
      <c r="G95" s="171">
        <v>0</v>
      </c>
      <c r="H95" s="166" t="s">
        <v>22</v>
      </c>
      <c r="I95" s="171">
        <v>0</v>
      </c>
      <c r="J95" s="166" t="s">
        <v>52</v>
      </c>
      <c r="K95" s="172" t="s">
        <v>283</v>
      </c>
      <c r="L95" s="158" t="s">
        <v>90</v>
      </c>
      <c r="M95" s="3">
        <v>2</v>
      </c>
      <c r="N95" s="3" t="s">
        <v>56</v>
      </c>
      <c r="O95" s="3">
        <f t="shared" si="13"/>
        <v>1</v>
      </c>
      <c r="P95" s="3">
        <f t="shared" ref="P95:P98" si="15">IF(A95=0,0,1)</f>
        <v>1</v>
      </c>
    </row>
    <row r="96" spans="1:16" ht="18.75" customHeight="1" x14ac:dyDescent="0.35">
      <c r="A96" s="159">
        <v>54319</v>
      </c>
      <c r="B96" s="160" t="s">
        <v>299</v>
      </c>
      <c r="C96" s="159" t="s">
        <v>297</v>
      </c>
      <c r="D96" s="161">
        <v>1.25</v>
      </c>
      <c r="E96" s="162">
        <v>7.6899999999999996E-2</v>
      </c>
      <c r="F96" s="163">
        <v>8.4948575999999998E-2</v>
      </c>
      <c r="G96" s="164">
        <v>0</v>
      </c>
      <c r="H96" s="159" t="s">
        <v>22</v>
      </c>
      <c r="I96" s="164">
        <v>0</v>
      </c>
      <c r="J96" s="159" t="s">
        <v>52</v>
      </c>
      <c r="K96" s="165" t="s">
        <v>283</v>
      </c>
      <c r="L96" s="158" t="s">
        <v>90</v>
      </c>
      <c r="M96" s="3">
        <v>2</v>
      </c>
      <c r="N96" s="3" t="s">
        <v>56</v>
      </c>
      <c r="O96" s="3">
        <f t="shared" si="13"/>
        <v>1</v>
      </c>
      <c r="P96" s="3">
        <f t="shared" si="15"/>
        <v>1</v>
      </c>
    </row>
    <row r="97" spans="1:16" ht="18.75" customHeight="1" x14ac:dyDescent="0.35">
      <c r="A97" s="166">
        <v>54320</v>
      </c>
      <c r="B97" s="167" t="s">
        <v>302</v>
      </c>
      <c r="C97" s="166" t="s">
        <v>297</v>
      </c>
      <c r="D97" s="168">
        <v>0.75</v>
      </c>
      <c r="E97" s="169">
        <v>6.3399999999999998E-2</v>
      </c>
      <c r="F97" s="170">
        <v>8.0382316999999995E-2</v>
      </c>
      <c r="G97" s="171">
        <v>999</v>
      </c>
      <c r="H97" s="166" t="s">
        <v>22</v>
      </c>
      <c r="I97" s="171">
        <v>0</v>
      </c>
      <c r="J97" s="166" t="s">
        <v>52</v>
      </c>
      <c r="K97" s="172" t="s">
        <v>284</v>
      </c>
      <c r="L97" s="158" t="s">
        <v>90</v>
      </c>
      <c r="M97" s="3">
        <v>5</v>
      </c>
      <c r="N97" s="3" t="s">
        <v>56</v>
      </c>
      <c r="O97" s="3">
        <f t="shared" si="13"/>
        <v>1</v>
      </c>
      <c r="P97" s="3">
        <f t="shared" si="15"/>
        <v>1</v>
      </c>
    </row>
    <row r="98" spans="1:16" ht="18.75" customHeight="1" x14ac:dyDescent="0.35">
      <c r="A98" s="159">
        <v>54323</v>
      </c>
      <c r="B98" s="160" t="s">
        <v>303</v>
      </c>
      <c r="C98" s="159" t="s">
        <v>297</v>
      </c>
      <c r="D98" s="161">
        <v>0.75</v>
      </c>
      <c r="E98" s="162">
        <v>6.54E-2</v>
      </c>
      <c r="F98" s="163">
        <v>8.0728658999999994E-2</v>
      </c>
      <c r="G98" s="164">
        <v>0</v>
      </c>
      <c r="H98" s="159" t="s">
        <v>22</v>
      </c>
      <c r="I98" s="164">
        <v>0</v>
      </c>
      <c r="J98" s="159" t="s">
        <v>52</v>
      </c>
      <c r="K98" s="165" t="s">
        <v>284</v>
      </c>
      <c r="L98" s="158" t="s">
        <v>90</v>
      </c>
      <c r="M98" s="3">
        <v>5</v>
      </c>
      <c r="N98" s="3" t="s">
        <v>56</v>
      </c>
      <c r="O98" s="3">
        <f t="shared" si="13"/>
        <v>1</v>
      </c>
      <c r="P98" s="3">
        <f t="shared" si="15"/>
        <v>1</v>
      </c>
    </row>
  </sheetData>
  <mergeCells count="15">
    <mergeCell ref="A32:B32"/>
    <mergeCell ref="G2:J3"/>
    <mergeCell ref="H5:J5"/>
    <mergeCell ref="B11:B12"/>
    <mergeCell ref="D28:E28"/>
    <mergeCell ref="F28:H28"/>
    <mergeCell ref="A87:B87"/>
    <mergeCell ref="A93:B93"/>
    <mergeCell ref="A80:B80"/>
    <mergeCell ref="A84:B84"/>
    <mergeCell ref="A38:B38"/>
    <mergeCell ref="A44:B44"/>
    <mergeCell ref="A55:B55"/>
    <mergeCell ref="A66:B66"/>
    <mergeCell ref="A72:B72"/>
  </mergeCells>
  <conditionalFormatting sqref="B28">
    <cfRule type="expression" dxfId="3" priority="1">
      <formula>$B$28="Use the 'FINALISE B' Button"</formula>
    </cfRule>
    <cfRule type="expression" dxfId="2" priority="2">
      <formula>$B$28="Use the 'FINALISE A' Button"</formula>
    </cfRule>
  </conditionalFormatting>
  <dataValidations count="10">
    <dataValidation type="list" errorStyle="information" allowBlank="1" showInputMessage="1" showErrorMessage="1" errorTitle="User Information" error="You need to select a valid segment, or leave blank to return all." sqref="C8" xr:uid="{53F4DC61-6949-4422-AB14-FA101CB7C3C7}">
      <formula1>$M$2:$M$17</formula1>
    </dataValidation>
    <dataValidation type="list" errorStyle="information" allowBlank="1" showInputMessage="1" showErrorMessage="1" errorTitle="User Information" error="You need to select a valid segment, or leave blank to return all." sqref="C13" xr:uid="{1E908B27-CB69-4A43-8C7E-A65BE0EC7811}">
      <formula1>"2, 3, 5, 10"</formula1>
    </dataValidation>
    <dataValidation type="list" errorStyle="information" allowBlank="1" showInputMessage="1" showErrorMessage="1" errorTitle="User Information" error="You need to select a valid segment, or leave blank to return all." sqref="C12" xr:uid="{B51B0D41-B516-4061-B72D-8E6B4D46FCE8}">
      <formula1>"55%, 60%, 65%, 70%, 75%, 80%, 85%, 90%, 95%"</formula1>
    </dataValidation>
    <dataValidation type="list" errorStyle="information" allowBlank="1" showInputMessage="1" showErrorMessage="1" errorTitle="User Information" error="You need to select a valid segment, or leave blank to return all." sqref="C10" xr:uid="{53FEF5A6-A536-440B-8405-D6D3F03DBB11}">
      <formula1>"Discount, Fixed, Tracker, Variable"</formula1>
    </dataValidation>
    <dataValidation type="list" errorStyle="information" allowBlank="1" showInputMessage="1" showErrorMessage="1" errorTitle="User Information" error="You need to select a valid segment, or leave blank to return all." sqref="C9" xr:uid="{3C96ED27-0B0D-4D1F-A59A-1CB5115F441E}">
      <formula1>"Purchase, Remortgage"</formula1>
    </dataValidation>
    <dataValidation type="date" allowBlank="1" showInputMessage="1" showErrorMessage="1" sqref="B25" xr:uid="{16C9DBF4-12C4-47B0-B078-32AF6AFBC8A2}">
      <formula1>42736</formula1>
      <formula2>72686</formula2>
    </dataValidation>
    <dataValidation type="list" allowBlank="1" showInputMessage="1" showErrorMessage="1" sqref="F28:H28" xr:uid="{2F3BEBD5-EF48-4A69-A89E-0062A5E3167D}">
      <formula1>"Acquisition (Comparison), Acquisition (Guide)"</formula1>
    </dataValidation>
    <dataValidation type="list" errorStyle="information" allowBlank="1" showInputMessage="1" showErrorMessage="1" errorTitle="User Information" error="You need to select a valid segment, or leave blank to return all." sqref="C11" xr:uid="{9FDF4F7B-02BB-4710-9D82-A1BB896AB0A8}">
      <formula1>"Exactly,Less than or equal to,More than or equal to"</formula1>
    </dataValidation>
    <dataValidation type="list" errorStyle="information" allowBlank="1" showInputMessage="1" showErrorMessage="1" errorTitle="User Information" error="You need to select a valid segment, or leave blank to return all." sqref="C15" xr:uid="{1ACCC3B8-7B56-4761-A757-BB8063DAAEC4}">
      <formula1>"£0, £250, £500, £750, £1000"</formula1>
    </dataValidation>
    <dataValidation type="list" errorStyle="information" allowBlank="1" showInputMessage="1" showErrorMessage="1" errorTitle="User Information" error="You need to select a valid segment, or leave blank to return all." sqref="C14" xr:uid="{C0CD016E-058C-4247-A219-470D3B21CB00}">
      <formula1>"Legal, Legal &amp; Valuation, None, Valuation"</formula1>
    </dataValidation>
  </dataValidations>
  <pageMargins left="0.7" right="0.7" top="0.75" bottom="0.75" header="0.3" footer="0.3"/>
  <pageSetup paperSize="9" scale="4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812CA-80F6-4394-BC6C-1557F2D3A1AC}">
  <sheetPr codeName="WithdrawnDesigner1">
    <pageSetUpPr fitToPage="1"/>
  </sheetPr>
  <dimension ref="A1:P100"/>
  <sheetViews>
    <sheetView zoomScale="85" zoomScaleNormal="85" workbookViewId="0">
      <selection activeCell="H5" sqref="H5:J5"/>
    </sheetView>
  </sheetViews>
  <sheetFormatPr defaultColWidth="0" defaultRowHeight="18.75" customHeight="1" x14ac:dyDescent="0.35"/>
  <cols>
    <col min="1" max="1" width="8.54296875" style="10" customWidth="1"/>
    <col min="2" max="2" width="59.453125" style="10" customWidth="1"/>
    <col min="3" max="3" width="22.54296875" style="10" customWidth="1"/>
    <col min="4" max="4" width="11.453125" style="10" customWidth="1"/>
    <col min="5" max="6" width="8.54296875" style="10" customWidth="1"/>
    <col min="7" max="7" width="15.54296875" style="10" customWidth="1"/>
    <col min="8" max="8" width="22.54296875" style="10" customWidth="1"/>
    <col min="9" max="9" width="15.54296875" style="10" customWidth="1"/>
    <col min="10" max="10" width="8.54296875" style="10" customWidth="1"/>
    <col min="11" max="11" width="15.54296875" style="10" customWidth="1"/>
    <col min="12" max="15" width="14.453125" style="10" hidden="1" customWidth="1"/>
    <col min="16" max="16" width="14.453125" style="33" hidden="1" customWidth="1"/>
    <col min="17" max="16384" width="7.453125" style="10" hidden="1"/>
  </cols>
  <sheetData>
    <row r="1" spans="1:16" ht="18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6"/>
      <c r="M1" s="7"/>
      <c r="N1" s="7"/>
      <c r="O1" s="7"/>
      <c r="P1" s="18"/>
    </row>
    <row r="2" spans="1:16" ht="18.75" customHeight="1" x14ac:dyDescent="0.35">
      <c r="A2" s="21"/>
      <c r="B2" s="21"/>
      <c r="C2" s="21"/>
      <c r="D2" s="21"/>
      <c r="E2" s="21"/>
      <c r="F2" s="21"/>
      <c r="G2" s="254" t="s">
        <v>81</v>
      </c>
      <c r="H2" s="254"/>
      <c r="I2" s="254"/>
      <c r="J2" s="254"/>
      <c r="K2" s="21"/>
      <c r="L2" s="6"/>
      <c r="M2" s="3" t="s">
        <v>30</v>
      </c>
      <c r="N2" s="3" t="s">
        <v>30</v>
      </c>
      <c r="O2" s="7"/>
      <c r="P2" s="18"/>
    </row>
    <row r="3" spans="1:16" ht="18.75" customHeight="1" x14ac:dyDescent="0.35">
      <c r="A3" s="21"/>
      <c r="B3" s="21"/>
      <c r="C3" s="21"/>
      <c r="D3" s="21"/>
      <c r="E3" s="21"/>
      <c r="F3" s="21"/>
      <c r="G3" s="254"/>
      <c r="H3" s="254"/>
      <c r="I3" s="254"/>
      <c r="J3" s="254"/>
      <c r="K3" s="21"/>
      <c r="L3" s="6"/>
      <c r="M3" s="3" t="s">
        <v>122</v>
      </c>
      <c r="N3" s="3" t="s">
        <v>122</v>
      </c>
      <c r="O3" s="7"/>
      <c r="P3" s="18"/>
    </row>
    <row r="4" spans="1:16" ht="18.7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6"/>
      <c r="M4" s="3" t="s">
        <v>31</v>
      </c>
      <c r="N4" s="3" t="s">
        <v>31</v>
      </c>
      <c r="O4" s="7"/>
      <c r="P4" s="18"/>
    </row>
    <row r="5" spans="1:16" ht="30" customHeight="1" x14ac:dyDescent="0.35">
      <c r="A5" s="21"/>
      <c r="B5" s="22" t="s">
        <v>106</v>
      </c>
      <c r="C5" s="21"/>
      <c r="D5" s="21"/>
      <c r="E5" s="21"/>
      <c r="F5" s="21"/>
      <c r="G5" s="21"/>
      <c r="H5" s="255">
        <v>45575</v>
      </c>
      <c r="I5" s="255"/>
      <c r="J5" s="255"/>
      <c r="K5" s="21"/>
      <c r="L5" s="6"/>
      <c r="M5" s="3" t="s">
        <v>32</v>
      </c>
      <c r="N5" s="3" t="s">
        <v>32</v>
      </c>
      <c r="O5" s="7"/>
      <c r="P5" s="18"/>
    </row>
    <row r="6" spans="1:16" ht="18.75" customHeight="1" thickBot="1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6"/>
      <c r="M6" s="3" t="s">
        <v>123</v>
      </c>
      <c r="N6" s="3" t="s">
        <v>34</v>
      </c>
      <c r="O6" s="7"/>
      <c r="P6" s="18"/>
    </row>
    <row r="7" spans="1:16" ht="18.75" hidden="1" customHeight="1" x14ac:dyDescent="0.35">
      <c r="A7" s="23"/>
      <c r="B7" s="23"/>
      <c r="C7" s="23"/>
      <c r="L7" s="6"/>
      <c r="M7" s="3" t="s">
        <v>34</v>
      </c>
      <c r="N7" s="3" t="s">
        <v>41</v>
      </c>
      <c r="O7" s="7"/>
      <c r="P7" s="18"/>
    </row>
    <row r="8" spans="1:16" ht="18.75" hidden="1" customHeight="1" x14ac:dyDescent="0.35">
      <c r="A8" s="23"/>
      <c r="B8" s="24" t="s">
        <v>67</v>
      </c>
      <c r="C8" s="28"/>
      <c r="L8" s="6"/>
      <c r="M8" s="3" t="s">
        <v>41</v>
      </c>
      <c r="N8" s="3" t="s">
        <v>38</v>
      </c>
      <c r="O8" s="7"/>
      <c r="P8" s="18"/>
    </row>
    <row r="9" spans="1:16" ht="18.75" hidden="1" customHeight="1" x14ac:dyDescent="0.35">
      <c r="A9" s="23"/>
      <c r="B9" s="24" t="s">
        <v>77</v>
      </c>
      <c r="C9" s="28"/>
      <c r="L9" s="6"/>
      <c r="M9" s="3" t="s">
        <v>38</v>
      </c>
      <c r="N9" s="3" t="s">
        <v>35</v>
      </c>
      <c r="O9" s="7"/>
      <c r="P9" s="18"/>
    </row>
    <row r="10" spans="1:16" ht="18.75" hidden="1" customHeight="1" x14ac:dyDescent="0.35">
      <c r="A10" s="23"/>
      <c r="B10" s="24" t="s">
        <v>78</v>
      </c>
      <c r="C10" s="28"/>
      <c r="L10" s="6"/>
      <c r="M10" s="3" t="s">
        <v>35</v>
      </c>
      <c r="N10" s="3" t="s">
        <v>36</v>
      </c>
      <c r="O10" s="7"/>
      <c r="P10" s="18"/>
    </row>
    <row r="11" spans="1:16" ht="18.75" hidden="1" customHeight="1" x14ac:dyDescent="0.35">
      <c r="A11" s="23"/>
      <c r="B11" s="256" t="s">
        <v>76</v>
      </c>
      <c r="C11" s="28"/>
      <c r="L11" s="6"/>
      <c r="M11" s="3" t="s">
        <v>36</v>
      </c>
      <c r="N11" s="3" t="s">
        <v>47</v>
      </c>
      <c r="O11" s="7"/>
      <c r="P11" s="18"/>
    </row>
    <row r="12" spans="1:16" ht="18.75" hidden="1" customHeight="1" x14ac:dyDescent="0.35">
      <c r="A12" s="23"/>
      <c r="B12" s="257"/>
      <c r="C12" s="29"/>
      <c r="L12" s="6"/>
      <c r="M12" s="3" t="s">
        <v>47</v>
      </c>
      <c r="N12" s="3" t="s">
        <v>37</v>
      </c>
      <c r="O12" s="7"/>
      <c r="P12" s="18"/>
    </row>
    <row r="13" spans="1:16" ht="18.75" hidden="1" customHeight="1" x14ac:dyDescent="0.35">
      <c r="A13" s="23"/>
      <c r="B13" s="24" t="s">
        <v>82</v>
      </c>
      <c r="C13" s="28"/>
      <c r="L13" s="6"/>
      <c r="M13" s="3" t="s">
        <v>37</v>
      </c>
      <c r="N13" s="3" t="s">
        <v>39</v>
      </c>
      <c r="O13" s="7"/>
      <c r="P13" s="18"/>
    </row>
    <row r="14" spans="1:16" ht="18.75" hidden="1" customHeight="1" x14ac:dyDescent="0.35">
      <c r="A14" s="23"/>
      <c r="B14" s="24" t="s">
        <v>98</v>
      </c>
      <c r="C14" s="28"/>
      <c r="L14" s="6"/>
      <c r="M14" s="3" t="s">
        <v>39</v>
      </c>
      <c r="N14" s="3" t="s">
        <v>83</v>
      </c>
      <c r="O14" s="7"/>
      <c r="P14" s="18"/>
    </row>
    <row r="15" spans="1:16" ht="18.75" hidden="1" customHeight="1" x14ac:dyDescent="0.35">
      <c r="A15" s="23"/>
      <c r="B15" s="24" t="s">
        <v>23</v>
      </c>
      <c r="C15" s="64"/>
      <c r="L15" s="6"/>
      <c r="M15" s="3" t="s">
        <v>87</v>
      </c>
      <c r="N15" s="3" t="s">
        <v>87</v>
      </c>
      <c r="O15" s="7"/>
      <c r="P15" s="18"/>
    </row>
    <row r="16" spans="1:16" ht="18.75" hidden="1" customHeight="1" thickBot="1" x14ac:dyDescent="0.4">
      <c r="A16" s="25"/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6"/>
      <c r="M16" s="3" t="s">
        <v>89</v>
      </c>
      <c r="N16" s="3" t="s">
        <v>89</v>
      </c>
      <c r="O16" s="7"/>
      <c r="P16" s="18"/>
    </row>
    <row r="17" spans="1:16" ht="18.75" hidden="1" customHeigh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3" t="s">
        <v>90</v>
      </c>
      <c r="N17" s="3" t="s">
        <v>90</v>
      </c>
      <c r="O17" s="7"/>
      <c r="P17" s="18"/>
    </row>
    <row r="18" spans="1:16" ht="18.75" hidden="1" customHeight="1" x14ac:dyDescent="0.35">
      <c r="A18" s="7"/>
      <c r="B18" s="20" t="s">
        <v>65</v>
      </c>
      <c r="C18" s="7"/>
      <c r="D18" s="7"/>
      <c r="E18" s="7"/>
      <c r="F18" s="7"/>
      <c r="G18" s="7"/>
      <c r="H18" s="7"/>
      <c r="I18" s="7"/>
      <c r="J18" s="7"/>
      <c r="K18" s="8"/>
      <c r="L18" s="7"/>
      <c r="M18" s="7"/>
      <c r="N18" s="3" t="s">
        <v>102</v>
      </c>
      <c r="O18" s="7"/>
      <c r="P18" s="18"/>
    </row>
    <row r="19" spans="1:16" ht="18.75" hidden="1" customHeight="1" x14ac:dyDescent="0.35">
      <c r="A19" s="7"/>
      <c r="B19" s="19"/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  <c r="N19" s="3" t="s">
        <v>101</v>
      </c>
      <c r="O19" s="7"/>
      <c r="P19" s="18"/>
    </row>
    <row r="20" spans="1:16" ht="18.75" hidden="1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7"/>
      <c r="M20" s="7"/>
      <c r="N20" s="7"/>
      <c r="O20" s="7"/>
      <c r="P20" s="18"/>
    </row>
    <row r="21" spans="1:16" ht="18.75" hidden="1" customHeight="1" x14ac:dyDescent="0.35">
      <c r="A21" s="7"/>
      <c r="B21" s="20" t="s">
        <v>66</v>
      </c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/>
      <c r="O21" s="7"/>
      <c r="P21" s="18"/>
    </row>
    <row r="22" spans="1:16" ht="18.75" hidden="1" customHeight="1" x14ac:dyDescent="0.35">
      <c r="A22" s="7"/>
      <c r="B22" s="19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18"/>
    </row>
    <row r="23" spans="1:16" ht="18.75" hidden="1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18"/>
    </row>
    <row r="24" spans="1:16" ht="18.75" hidden="1" customHeight="1" x14ac:dyDescent="0.35">
      <c r="A24" s="7"/>
      <c r="B24" s="20" t="s">
        <v>70</v>
      </c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/>
      <c r="O24" s="7"/>
      <c r="P24" s="18"/>
    </row>
    <row r="25" spans="1:16" ht="18.75" hidden="1" customHeight="1" x14ac:dyDescent="0.35">
      <c r="A25" s="7"/>
      <c r="B25" s="31"/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18"/>
    </row>
    <row r="26" spans="1:16" ht="18.75" hidden="1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7"/>
      <c r="M26" s="7"/>
      <c r="N26" s="7"/>
      <c r="O26" s="7"/>
      <c r="P26" s="18"/>
    </row>
    <row r="27" spans="1:16" ht="18.75" hidden="1" customHeight="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5"/>
      <c r="L27" s="7"/>
      <c r="M27" s="7"/>
      <c r="N27" s="7"/>
      <c r="O27" s="7"/>
      <c r="P27" s="18"/>
    </row>
    <row r="28" spans="1:16" ht="18.75" hidden="1" customHeight="1" x14ac:dyDescent="0.35">
      <c r="A28" s="7"/>
      <c r="B28" s="34" t="s">
        <v>104</v>
      </c>
      <c r="C28" s="7"/>
      <c r="D28" s="259" t="s">
        <v>17</v>
      </c>
      <c r="E28" s="259"/>
      <c r="F28" s="260"/>
      <c r="G28" s="260"/>
      <c r="H28" s="260"/>
      <c r="I28" s="7"/>
      <c r="J28" s="7"/>
      <c r="K28" s="8"/>
      <c r="L28" s="7"/>
      <c r="M28" s="7"/>
      <c r="N28" s="7"/>
      <c r="O28" s="7"/>
      <c r="P28" s="18"/>
    </row>
    <row r="29" spans="1:16" ht="18.75" hidden="1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9"/>
      <c r="L29" s="7"/>
      <c r="M29" s="7"/>
      <c r="N29" s="7"/>
      <c r="O29" s="7"/>
      <c r="P29" s="18"/>
    </row>
    <row r="30" spans="1:16" ht="18.75" hidden="1" customHeight="1" x14ac:dyDescent="0.35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6</v>
      </c>
      <c r="H30" s="2" t="s">
        <v>7</v>
      </c>
      <c r="I30" s="2" t="s">
        <v>8</v>
      </c>
      <c r="J30" s="2" t="s">
        <v>9</v>
      </c>
      <c r="K30" s="2" t="s">
        <v>10</v>
      </c>
      <c r="L30" s="1" t="s">
        <v>59</v>
      </c>
      <c r="M30" s="2" t="s">
        <v>62</v>
      </c>
      <c r="N30" s="1" t="s">
        <v>63</v>
      </c>
      <c r="O30" s="1" t="s">
        <v>64</v>
      </c>
      <c r="P30" s="2" t="s">
        <v>13</v>
      </c>
    </row>
    <row r="31" spans="1:16" ht="18.75" customHeight="1" thickBot="1" x14ac:dyDescent="0.4">
      <c r="A31" s="213" t="s">
        <v>14</v>
      </c>
      <c r="B31" s="157" t="s">
        <v>57</v>
      </c>
      <c r="C31" s="157" t="s">
        <v>17</v>
      </c>
      <c r="D31" s="157" t="s">
        <v>124</v>
      </c>
      <c r="E31" s="157" t="s">
        <v>19</v>
      </c>
      <c r="F31" s="157" t="s">
        <v>125</v>
      </c>
      <c r="G31" s="157" t="s">
        <v>20</v>
      </c>
      <c r="H31" s="157" t="s">
        <v>58</v>
      </c>
      <c r="I31" s="157" t="s">
        <v>23</v>
      </c>
      <c r="J31" s="157" t="s">
        <v>24</v>
      </c>
      <c r="K31" s="157" t="s">
        <v>25</v>
      </c>
      <c r="L31" s="1" t="s">
        <v>60</v>
      </c>
      <c r="M31" s="1" t="s">
        <v>48</v>
      </c>
      <c r="N31" s="1" t="s">
        <v>54</v>
      </c>
      <c r="O31" s="1">
        <v>1</v>
      </c>
      <c r="P31" s="1">
        <v>1</v>
      </c>
    </row>
    <row r="32" spans="1:16" ht="18.75" customHeight="1" x14ac:dyDescent="0.35">
      <c r="A32" s="261" t="s">
        <v>26</v>
      </c>
      <c r="B32" s="261"/>
      <c r="C32" s="209" t="s">
        <v>214</v>
      </c>
      <c r="D32" s="207"/>
      <c r="E32" s="207"/>
      <c r="F32" s="207"/>
      <c r="G32" s="207"/>
      <c r="H32" s="207"/>
      <c r="I32" s="207"/>
      <c r="J32" s="207"/>
      <c r="K32" s="207"/>
      <c r="L32" s="1" t="s">
        <v>30</v>
      </c>
      <c r="M32" s="1" t="s">
        <v>61</v>
      </c>
      <c r="N32" s="1" t="s">
        <v>61</v>
      </c>
      <c r="O32" s="1">
        <f>IF(SUM(O33:O37)=0,0,1)</f>
        <v>1</v>
      </c>
      <c r="P32" s="1">
        <f>IF(SUM(P33:P37)=0,0,1)</f>
        <v>1</v>
      </c>
    </row>
    <row r="33" spans="1:16" ht="18.75" customHeight="1" x14ac:dyDescent="0.35">
      <c r="A33" s="159">
        <v>54177</v>
      </c>
      <c r="B33" s="160" t="s">
        <v>298</v>
      </c>
      <c r="C33" s="159" t="s">
        <v>297</v>
      </c>
      <c r="D33" s="161">
        <v>0.65</v>
      </c>
      <c r="E33" s="162">
        <v>4.3799999999999999E-2</v>
      </c>
      <c r="F33" s="163">
        <v>7.5625860000000003E-2</v>
      </c>
      <c r="G33" s="214">
        <v>799</v>
      </c>
      <c r="H33" s="159" t="s">
        <v>22</v>
      </c>
      <c r="I33" s="164">
        <v>0</v>
      </c>
      <c r="J33" s="159" t="s">
        <v>52</v>
      </c>
      <c r="K33" s="165" t="s">
        <v>283</v>
      </c>
      <c r="L33" s="158" t="s">
        <v>30</v>
      </c>
      <c r="M33" s="3">
        <v>2</v>
      </c>
      <c r="N33" s="3" t="s">
        <v>56</v>
      </c>
      <c r="O33" s="3">
        <f t="shared" ref="O33:O37" si="0">IF($C$11="More than or equal to",IF(AND(OR($C$8="",$C$8=L33),OR($C$9="",C33="Purchase &amp; Remortgage",$C$9=C33),OR($C$10="",$C$10=N33),OR($C$12="",$C$12&lt;=D33),OR($C$13="",$C$13=M33),OR($C$14="",$C$14=H33),OR($C$15="",$C$15=I33)),1,0),IF($C$11="Less than or equal to",IF(AND(OR($C$8="",$C$8=L33),OR($C$9="",C33="Purchase &amp; Remortgage",$C$9=C33),OR($C$10="",$C$10=N33),OR($C$12="",$C$12&gt;=D33),OR($C$13="",$C$13=M33),OR($C$14="",$C$14=H33),OR($C$15="",$C$15=I33)),1,0),IF(AND(OR($C$8="",$C$8=L33),OR($C$9="",C33="Purchase &amp; Remortgage",$C$9=C33),OR($C$10="",$C$10=N33),OR($C$12="",$C$12=D33),OR($C$13="",$C$13=M33),OR($C$14="",$C$14=H33),OR($C$15="",$C$15=I33)),1,0)))</f>
        <v>1</v>
      </c>
      <c r="P33" s="3">
        <f t="shared" ref="P33:P37" si="1">IF(A33=0,0,1)</f>
        <v>1</v>
      </c>
    </row>
    <row r="34" spans="1:16" ht="18.75" customHeight="1" x14ac:dyDescent="0.35">
      <c r="A34" s="166">
        <v>54178</v>
      </c>
      <c r="B34" s="167" t="s">
        <v>299</v>
      </c>
      <c r="C34" s="166" t="s">
        <v>297</v>
      </c>
      <c r="D34" s="168">
        <v>0.65</v>
      </c>
      <c r="E34" s="169">
        <v>4.5499999999999999E-2</v>
      </c>
      <c r="F34" s="170">
        <v>7.5371578999999994E-2</v>
      </c>
      <c r="G34" s="215">
        <v>0</v>
      </c>
      <c r="H34" s="166" t="s">
        <v>22</v>
      </c>
      <c r="I34" s="171">
        <v>0</v>
      </c>
      <c r="J34" s="166" t="s">
        <v>52</v>
      </c>
      <c r="K34" s="172" t="s">
        <v>283</v>
      </c>
      <c r="L34" s="158" t="s">
        <v>30</v>
      </c>
      <c r="M34" s="3">
        <v>2</v>
      </c>
      <c r="N34" s="3" t="s">
        <v>56</v>
      </c>
      <c r="O34" s="3">
        <f t="shared" si="0"/>
        <v>1</v>
      </c>
      <c r="P34" s="3">
        <f t="shared" si="1"/>
        <v>1</v>
      </c>
    </row>
    <row r="35" spans="1:16" ht="18.75" customHeight="1" x14ac:dyDescent="0.35">
      <c r="A35" s="159">
        <v>54181</v>
      </c>
      <c r="B35" s="160" t="s">
        <v>300</v>
      </c>
      <c r="C35" s="159" t="s">
        <v>297</v>
      </c>
      <c r="D35" s="161">
        <v>0.75</v>
      </c>
      <c r="E35" s="162">
        <v>4.3499999999999997E-2</v>
      </c>
      <c r="F35" s="163">
        <v>7.5870230999999996E-2</v>
      </c>
      <c r="G35" s="214">
        <v>1599</v>
      </c>
      <c r="H35" s="159" t="s">
        <v>22</v>
      </c>
      <c r="I35" s="164">
        <v>0</v>
      </c>
      <c r="J35" s="159" t="s">
        <v>52</v>
      </c>
      <c r="K35" s="165" t="s">
        <v>283</v>
      </c>
      <c r="L35" s="158" t="s">
        <v>30</v>
      </c>
      <c r="M35" s="3">
        <v>2</v>
      </c>
      <c r="N35" s="3" t="s">
        <v>56</v>
      </c>
      <c r="O35" s="3">
        <f t="shared" si="0"/>
        <v>1</v>
      </c>
      <c r="P35" s="3">
        <f t="shared" si="1"/>
        <v>1</v>
      </c>
    </row>
    <row r="36" spans="1:16" ht="18.75" customHeight="1" x14ac:dyDescent="0.35">
      <c r="A36" s="166">
        <v>54180</v>
      </c>
      <c r="B36" s="167" t="s">
        <v>298</v>
      </c>
      <c r="C36" s="166" t="s">
        <v>297</v>
      </c>
      <c r="D36" s="168">
        <v>0.75</v>
      </c>
      <c r="E36" s="169">
        <v>4.53E-2</v>
      </c>
      <c r="F36" s="170">
        <v>7.5942196000000003E-2</v>
      </c>
      <c r="G36" s="215">
        <v>799</v>
      </c>
      <c r="H36" s="166" t="s">
        <v>22</v>
      </c>
      <c r="I36" s="171">
        <v>0</v>
      </c>
      <c r="J36" s="166" t="s">
        <v>52</v>
      </c>
      <c r="K36" s="172" t="s">
        <v>283</v>
      </c>
      <c r="L36" s="158" t="s">
        <v>30</v>
      </c>
      <c r="M36" s="3">
        <v>2</v>
      </c>
      <c r="N36" s="3" t="s">
        <v>56</v>
      </c>
      <c r="O36" s="3">
        <f t="shared" si="0"/>
        <v>1</v>
      </c>
      <c r="P36" s="3">
        <f t="shared" si="1"/>
        <v>1</v>
      </c>
    </row>
    <row r="37" spans="1:16" ht="18.75" customHeight="1" thickBot="1" x14ac:dyDescent="0.4">
      <c r="A37" s="159">
        <v>54179</v>
      </c>
      <c r="B37" s="160" t="s">
        <v>299</v>
      </c>
      <c r="C37" s="159" t="s">
        <v>297</v>
      </c>
      <c r="D37" s="161">
        <v>0.75</v>
      </c>
      <c r="E37" s="162">
        <v>4.6399999999999997E-2</v>
      </c>
      <c r="F37" s="163">
        <v>7.5561428999999999E-2</v>
      </c>
      <c r="G37" s="214">
        <v>0</v>
      </c>
      <c r="H37" s="159" t="s">
        <v>22</v>
      </c>
      <c r="I37" s="164">
        <v>0</v>
      </c>
      <c r="J37" s="159" t="s">
        <v>52</v>
      </c>
      <c r="K37" s="165" t="s">
        <v>283</v>
      </c>
      <c r="L37" s="158" t="s">
        <v>30</v>
      </c>
      <c r="M37" s="3">
        <v>2</v>
      </c>
      <c r="N37" s="3" t="s">
        <v>56</v>
      </c>
      <c r="O37" s="3">
        <f t="shared" si="0"/>
        <v>1</v>
      </c>
      <c r="P37" s="3">
        <f t="shared" si="1"/>
        <v>1</v>
      </c>
    </row>
    <row r="38" spans="1:16" ht="18.75" customHeight="1" x14ac:dyDescent="0.35">
      <c r="A38" s="253" t="s">
        <v>27</v>
      </c>
      <c r="B38" s="253"/>
      <c r="C38" s="209" t="s">
        <v>214</v>
      </c>
      <c r="D38" s="210"/>
      <c r="E38" s="210"/>
      <c r="F38" s="210"/>
      <c r="G38" s="210"/>
      <c r="H38" s="210"/>
      <c r="I38" s="210"/>
      <c r="J38" s="210"/>
      <c r="K38" s="210"/>
      <c r="L38" s="1" t="s">
        <v>31</v>
      </c>
      <c r="M38" s="1">
        <v>0</v>
      </c>
      <c r="N38" s="1">
        <v>0</v>
      </c>
      <c r="O38" s="1">
        <f>IF(SUM(O39:O43)=0,0,1)</f>
        <v>1</v>
      </c>
      <c r="P38" s="1">
        <f>IF(SUM(P39:P43)=0,0,1)</f>
        <v>1</v>
      </c>
    </row>
    <row r="39" spans="1:16" ht="18.75" customHeight="1" x14ac:dyDescent="0.35">
      <c r="A39" s="159">
        <v>53841</v>
      </c>
      <c r="B39" s="160" t="s">
        <v>299</v>
      </c>
      <c r="C39" s="159" t="s">
        <v>297</v>
      </c>
      <c r="D39" s="161">
        <v>0.65</v>
      </c>
      <c r="E39" s="162">
        <v>5.8400000000000001E-2</v>
      </c>
      <c r="F39" s="163">
        <v>7.9617921999999994E-2</v>
      </c>
      <c r="G39" s="214">
        <v>0</v>
      </c>
      <c r="H39" s="159" t="s">
        <v>22</v>
      </c>
      <c r="I39" s="164">
        <v>0</v>
      </c>
      <c r="J39" s="159" t="s">
        <v>52</v>
      </c>
      <c r="K39" s="165" t="s">
        <v>264</v>
      </c>
      <c r="L39" s="158" t="s">
        <v>31</v>
      </c>
      <c r="M39" s="3">
        <v>2</v>
      </c>
      <c r="N39" s="3" t="s">
        <v>56</v>
      </c>
      <c r="O39" s="3">
        <f t="shared" ref="O39:O43" si="2">IF($C$11="More than or equal to",IF(AND(OR($C$8="",$C$8=L39),OR($C$9="",C39="Purchase &amp; Remortgage",$C$9=C39),OR($C$10="",$C$10=N39),OR($C$12="",$C$12&lt;=D39),OR($C$13="",$C$13=M39),OR($C$14="",$C$14=H39),OR($C$15="",$C$15=I39)),1,0),IF($C$11="Less than or equal to",IF(AND(OR($C$8="",$C$8=L39),OR($C$9="",C39="Purchase &amp; Remortgage",$C$9=C39),OR($C$10="",$C$10=N39),OR($C$12="",$C$12&gt;=D39),OR($C$13="",$C$13=M39),OR($C$14="",$C$14=H39),OR($C$15="",$C$15=I39)),1,0),IF(AND(OR($C$8="",$C$8=L39),OR($C$9="",C39="Purchase &amp; Remortgage",$C$9=C39),OR($C$10="",$C$10=N39),OR($C$12="",$C$12=D39),OR($C$13="",$C$13=M39),OR($C$14="",$C$14=H39),OR($C$15="",$C$15=I39)),1,0)))</f>
        <v>1</v>
      </c>
      <c r="P39" s="3">
        <f t="shared" ref="P39:P43" si="3">IF(A39=0,0,1)</f>
        <v>1</v>
      </c>
    </row>
    <row r="40" spans="1:16" ht="18.75" customHeight="1" x14ac:dyDescent="0.35">
      <c r="A40" s="166">
        <v>53840</v>
      </c>
      <c r="B40" s="167" t="s">
        <v>299</v>
      </c>
      <c r="C40" s="166" t="s">
        <v>297</v>
      </c>
      <c r="D40" s="168">
        <v>0.85</v>
      </c>
      <c r="E40" s="169">
        <v>6.0400000000000002E-2</v>
      </c>
      <c r="F40" s="170">
        <v>7.8550264999999994E-2</v>
      </c>
      <c r="G40" s="215">
        <v>0</v>
      </c>
      <c r="H40" s="166" t="s">
        <v>22</v>
      </c>
      <c r="I40" s="171">
        <v>0</v>
      </c>
      <c r="J40" s="166" t="s">
        <v>52</v>
      </c>
      <c r="K40" s="172" t="s">
        <v>264</v>
      </c>
      <c r="L40" s="158" t="s">
        <v>31</v>
      </c>
      <c r="M40" s="3">
        <v>2</v>
      </c>
      <c r="N40" s="3" t="s">
        <v>56</v>
      </c>
      <c r="O40" s="3">
        <f t="shared" si="2"/>
        <v>1</v>
      </c>
      <c r="P40" s="3">
        <f t="shared" si="3"/>
        <v>1</v>
      </c>
    </row>
    <row r="41" spans="1:16" ht="18.75" customHeight="1" x14ac:dyDescent="0.35">
      <c r="A41" s="159">
        <v>53844</v>
      </c>
      <c r="B41" s="160" t="s">
        <v>299</v>
      </c>
      <c r="C41" s="159" t="s">
        <v>297</v>
      </c>
      <c r="D41" s="161">
        <v>1.25</v>
      </c>
      <c r="E41" s="162">
        <v>7.1400000000000005E-2</v>
      </c>
      <c r="F41" s="163">
        <v>8.0959539999999997E-2</v>
      </c>
      <c r="G41" s="214">
        <v>0</v>
      </c>
      <c r="H41" s="159" t="s">
        <v>22</v>
      </c>
      <c r="I41" s="164">
        <v>0</v>
      </c>
      <c r="J41" s="159" t="s">
        <v>52</v>
      </c>
      <c r="K41" s="165" t="s">
        <v>264</v>
      </c>
      <c r="L41" s="158" t="s">
        <v>31</v>
      </c>
      <c r="M41" s="3">
        <v>2</v>
      </c>
      <c r="N41" s="3" t="s">
        <v>56</v>
      </c>
      <c r="O41" s="3">
        <f t="shared" si="2"/>
        <v>1</v>
      </c>
      <c r="P41" s="3">
        <f t="shared" si="3"/>
        <v>1</v>
      </c>
    </row>
    <row r="42" spans="1:16" ht="18.75" customHeight="1" x14ac:dyDescent="0.35">
      <c r="A42" s="166">
        <v>53843</v>
      </c>
      <c r="B42" s="167" t="s">
        <v>303</v>
      </c>
      <c r="C42" s="166" t="s">
        <v>297</v>
      </c>
      <c r="D42" s="168">
        <v>0.65</v>
      </c>
      <c r="E42" s="169">
        <v>5.3900000000000003E-2</v>
      </c>
      <c r="F42" s="170">
        <v>7.4516313000000001E-2</v>
      </c>
      <c r="G42" s="215">
        <v>0</v>
      </c>
      <c r="H42" s="166" t="s">
        <v>22</v>
      </c>
      <c r="I42" s="171">
        <v>0</v>
      </c>
      <c r="J42" s="166" t="s">
        <v>52</v>
      </c>
      <c r="K42" s="172" t="s">
        <v>265</v>
      </c>
      <c r="L42" s="158" t="s">
        <v>31</v>
      </c>
      <c r="M42" s="3">
        <v>5</v>
      </c>
      <c r="N42" s="3" t="s">
        <v>56</v>
      </c>
      <c r="O42" s="3">
        <f t="shared" si="2"/>
        <v>1</v>
      </c>
      <c r="P42" s="3">
        <f t="shared" si="3"/>
        <v>1</v>
      </c>
    </row>
    <row r="43" spans="1:16" ht="18.75" customHeight="1" thickBot="1" x14ac:dyDescent="0.4">
      <c r="A43" s="159">
        <v>53842</v>
      </c>
      <c r="B43" s="160" t="s">
        <v>303</v>
      </c>
      <c r="C43" s="159" t="s">
        <v>297</v>
      </c>
      <c r="D43" s="161">
        <v>0.85</v>
      </c>
      <c r="E43" s="162">
        <v>5.5899999999999998E-2</v>
      </c>
      <c r="F43" s="163">
        <v>7.2767939000000004E-2</v>
      </c>
      <c r="G43" s="214">
        <v>0</v>
      </c>
      <c r="H43" s="159" t="s">
        <v>22</v>
      </c>
      <c r="I43" s="164">
        <v>0</v>
      </c>
      <c r="J43" s="159" t="s">
        <v>52</v>
      </c>
      <c r="K43" s="165" t="s">
        <v>265</v>
      </c>
      <c r="L43" s="158" t="s">
        <v>31</v>
      </c>
      <c r="M43" s="3">
        <v>5</v>
      </c>
      <c r="N43" s="3" t="s">
        <v>56</v>
      </c>
      <c r="O43" s="3">
        <f t="shared" si="2"/>
        <v>1</v>
      </c>
      <c r="P43" s="3">
        <f t="shared" si="3"/>
        <v>1</v>
      </c>
    </row>
    <row r="44" spans="1:16" ht="18.75" customHeight="1" x14ac:dyDescent="0.35">
      <c r="A44" s="253" t="s">
        <v>40</v>
      </c>
      <c r="B44" s="253"/>
      <c r="C44" s="209" t="s">
        <v>214</v>
      </c>
      <c r="D44" s="210"/>
      <c r="E44" s="210"/>
      <c r="F44" s="210"/>
      <c r="G44" s="210"/>
      <c r="H44" s="210"/>
      <c r="I44" s="210"/>
      <c r="J44" s="210"/>
      <c r="K44" s="210"/>
      <c r="L44" s="1" t="s">
        <v>34</v>
      </c>
      <c r="M44" s="1">
        <v>0</v>
      </c>
      <c r="N44" s="1">
        <v>0</v>
      </c>
      <c r="O44" s="1">
        <f>IF(SUM(O45:O55)=0,0,1)</f>
        <v>1</v>
      </c>
      <c r="P44" s="1">
        <f>IF(SUM(P45:P55)=0,0,1)</f>
        <v>1</v>
      </c>
    </row>
    <row r="45" spans="1:16" ht="18.75" customHeight="1" x14ac:dyDescent="0.35">
      <c r="A45" s="159">
        <v>53848</v>
      </c>
      <c r="B45" s="160" t="s">
        <v>298</v>
      </c>
      <c r="C45" s="159" t="s">
        <v>297</v>
      </c>
      <c r="D45" s="161">
        <v>0.6</v>
      </c>
      <c r="E45" s="162">
        <v>4.9299999999999997E-2</v>
      </c>
      <c r="F45" s="163">
        <v>8.0669008E-2</v>
      </c>
      <c r="G45" s="214">
        <v>1499</v>
      </c>
      <c r="H45" s="159" t="s">
        <v>22</v>
      </c>
      <c r="I45" s="164">
        <v>0</v>
      </c>
      <c r="J45" s="159" t="s">
        <v>52</v>
      </c>
      <c r="K45" s="165" t="s">
        <v>264</v>
      </c>
      <c r="L45" s="158" t="s">
        <v>34</v>
      </c>
      <c r="M45" s="3">
        <v>2</v>
      </c>
      <c r="N45" s="3" t="s">
        <v>56</v>
      </c>
      <c r="O45" s="3">
        <f t="shared" ref="O45:O67" si="4">IF($C$11="More than or equal to",IF(AND(OR($C$8="",$C$8=L45),OR($C$9="",C45="Purchase &amp; Remortgage",$C$9=C45),OR($C$10="",$C$10=N45),OR($C$12="",$C$12&lt;=D45),OR($C$13="",$C$13=M45),OR($C$14="",$C$14=H45),OR($C$15="",$C$15=I45)),1,0),IF($C$11="Less than or equal to",IF(AND(OR($C$8="",$C$8=L45),OR($C$9="",C45="Purchase &amp; Remortgage",$C$9=C45),OR($C$10="",$C$10=N45),OR($C$12="",$C$12&gt;=D45),OR($C$13="",$C$13=M45),OR($C$14="",$C$14=H45),OR($C$15="",$C$15=I45)),1,0),IF(AND(OR($C$8="",$C$8=L45),OR($C$9="",C45="Purchase &amp; Remortgage",$C$9=C45),OR($C$10="",$C$10=N45),OR($C$12="",$C$12=D45),OR($C$13="",$C$13=M45),OR($C$14="",$C$14=H45),OR($C$15="",$C$15=I45)),1,0)))</f>
        <v>1</v>
      </c>
      <c r="P45" s="3">
        <f t="shared" ref="P45:P50" si="5">IF(A45=0,0,1)</f>
        <v>1</v>
      </c>
    </row>
    <row r="46" spans="1:16" ht="18.75" customHeight="1" x14ac:dyDescent="0.35">
      <c r="A46" s="166">
        <v>53852</v>
      </c>
      <c r="B46" s="167" t="s">
        <v>298</v>
      </c>
      <c r="C46" s="166" t="s">
        <v>297</v>
      </c>
      <c r="D46" s="168">
        <v>0.6</v>
      </c>
      <c r="E46" s="169">
        <v>5.04E-2</v>
      </c>
      <c r="F46" s="170">
        <v>8.1051393999999999E-2</v>
      </c>
      <c r="G46" s="215">
        <v>999</v>
      </c>
      <c r="H46" s="166" t="s">
        <v>22</v>
      </c>
      <c r="I46" s="171">
        <v>0</v>
      </c>
      <c r="J46" s="166" t="s">
        <v>52</v>
      </c>
      <c r="K46" s="172" t="s">
        <v>264</v>
      </c>
      <c r="L46" s="158" t="s">
        <v>34</v>
      </c>
      <c r="M46" s="3">
        <v>2</v>
      </c>
      <c r="N46" s="3" t="s">
        <v>56</v>
      </c>
      <c r="O46" s="3">
        <f t="shared" si="4"/>
        <v>1</v>
      </c>
      <c r="P46" s="3">
        <f t="shared" si="5"/>
        <v>1</v>
      </c>
    </row>
    <row r="47" spans="1:16" ht="18.75" customHeight="1" x14ac:dyDescent="0.35">
      <c r="A47" s="159">
        <v>53851</v>
      </c>
      <c r="B47" s="160" t="s">
        <v>299</v>
      </c>
      <c r="C47" s="159" t="s">
        <v>297</v>
      </c>
      <c r="D47" s="161">
        <v>0.6</v>
      </c>
      <c r="E47" s="162">
        <v>5.3800000000000001E-2</v>
      </c>
      <c r="F47" s="163">
        <v>8.0860586999999998E-2</v>
      </c>
      <c r="G47" s="214">
        <v>0</v>
      </c>
      <c r="H47" s="159" t="s">
        <v>22</v>
      </c>
      <c r="I47" s="164">
        <v>0</v>
      </c>
      <c r="J47" s="159" t="s">
        <v>52</v>
      </c>
      <c r="K47" s="165" t="s">
        <v>264</v>
      </c>
      <c r="L47" s="158" t="s">
        <v>34</v>
      </c>
      <c r="M47" s="3">
        <v>2</v>
      </c>
      <c r="N47" s="3" t="s">
        <v>56</v>
      </c>
      <c r="O47" s="3">
        <f t="shared" si="4"/>
        <v>1</v>
      </c>
      <c r="P47" s="3">
        <f t="shared" si="5"/>
        <v>1</v>
      </c>
    </row>
    <row r="48" spans="1:16" ht="18.75" customHeight="1" x14ac:dyDescent="0.35">
      <c r="A48" s="166">
        <v>53853</v>
      </c>
      <c r="B48" s="167" t="s">
        <v>298</v>
      </c>
      <c r="C48" s="166" t="s">
        <v>297</v>
      </c>
      <c r="D48" s="168">
        <v>0.75</v>
      </c>
      <c r="E48" s="169">
        <v>5.4899999999999997E-2</v>
      </c>
      <c r="F48" s="170">
        <v>8.1831213999999999E-2</v>
      </c>
      <c r="G48" s="215">
        <v>999</v>
      </c>
      <c r="H48" s="166" t="s">
        <v>22</v>
      </c>
      <c r="I48" s="171">
        <v>0</v>
      </c>
      <c r="J48" s="166" t="s">
        <v>52</v>
      </c>
      <c r="K48" s="172" t="s">
        <v>264</v>
      </c>
      <c r="L48" s="158" t="s">
        <v>34</v>
      </c>
      <c r="M48" s="3">
        <v>2</v>
      </c>
      <c r="N48" s="3" t="s">
        <v>56</v>
      </c>
      <c r="O48" s="3">
        <f t="shared" si="4"/>
        <v>1</v>
      </c>
      <c r="P48" s="3">
        <f t="shared" si="5"/>
        <v>1</v>
      </c>
    </row>
    <row r="49" spans="1:16" ht="18.75" customHeight="1" x14ac:dyDescent="0.35">
      <c r="A49" s="159">
        <v>53865</v>
      </c>
      <c r="B49" s="160" t="s">
        <v>299</v>
      </c>
      <c r="C49" s="159" t="s">
        <v>297</v>
      </c>
      <c r="D49" s="161">
        <v>0.75</v>
      </c>
      <c r="E49" s="162">
        <v>6.0299999999999999E-2</v>
      </c>
      <c r="F49" s="163">
        <v>8.1985638999999999E-2</v>
      </c>
      <c r="G49" s="214">
        <v>0</v>
      </c>
      <c r="H49" s="159" t="s">
        <v>22</v>
      </c>
      <c r="I49" s="164">
        <v>0</v>
      </c>
      <c r="J49" s="159" t="s">
        <v>52</v>
      </c>
      <c r="K49" s="165" t="s">
        <v>264</v>
      </c>
      <c r="L49" s="158" t="s">
        <v>34</v>
      </c>
      <c r="M49" s="3">
        <v>2</v>
      </c>
      <c r="N49" s="3" t="s">
        <v>56</v>
      </c>
      <c r="O49" s="3">
        <f t="shared" si="4"/>
        <v>1</v>
      </c>
      <c r="P49" s="3">
        <f t="shared" si="5"/>
        <v>1</v>
      </c>
    </row>
    <row r="50" spans="1:16" ht="18.75" customHeight="1" x14ac:dyDescent="0.35">
      <c r="A50" s="166">
        <v>53859</v>
      </c>
      <c r="B50" s="167" t="s">
        <v>299</v>
      </c>
      <c r="C50" s="166" t="s">
        <v>297</v>
      </c>
      <c r="D50" s="168">
        <v>1.25</v>
      </c>
      <c r="E50" s="169">
        <v>6.6900000000000001E-2</v>
      </c>
      <c r="F50" s="170">
        <v>8.3147971000000001E-2</v>
      </c>
      <c r="G50" s="215">
        <v>0</v>
      </c>
      <c r="H50" s="166" t="s">
        <v>22</v>
      </c>
      <c r="I50" s="171">
        <v>0</v>
      </c>
      <c r="J50" s="166" t="s">
        <v>52</v>
      </c>
      <c r="K50" s="172" t="s">
        <v>264</v>
      </c>
      <c r="L50" s="158" t="s">
        <v>34</v>
      </c>
      <c r="M50" s="3">
        <v>2</v>
      </c>
      <c r="N50" s="3" t="s">
        <v>56</v>
      </c>
      <c r="O50" s="3">
        <f t="shared" si="4"/>
        <v>1</v>
      </c>
      <c r="P50" s="3">
        <f t="shared" si="5"/>
        <v>1</v>
      </c>
    </row>
    <row r="51" spans="1:16" ht="18.75" customHeight="1" x14ac:dyDescent="0.35">
      <c r="A51" s="159">
        <v>53857</v>
      </c>
      <c r="B51" s="160" t="s">
        <v>302</v>
      </c>
      <c r="C51" s="159" t="s">
        <v>297</v>
      </c>
      <c r="D51" s="161">
        <v>0.6</v>
      </c>
      <c r="E51" s="162">
        <v>4.4400000000000002E-2</v>
      </c>
      <c r="F51" s="163">
        <v>7.3554797000000005E-2</v>
      </c>
      <c r="G51" s="214">
        <v>1499</v>
      </c>
      <c r="H51" s="159" t="s">
        <v>22</v>
      </c>
      <c r="I51" s="164">
        <v>0</v>
      </c>
      <c r="J51" s="159" t="s">
        <v>52</v>
      </c>
      <c r="K51" s="165" t="s">
        <v>265</v>
      </c>
      <c r="L51" s="158" t="s">
        <v>34</v>
      </c>
      <c r="M51" s="3">
        <v>5</v>
      </c>
      <c r="N51" s="3" t="s">
        <v>56</v>
      </c>
      <c r="O51" s="3">
        <f t="shared" si="4"/>
        <v>1</v>
      </c>
      <c r="P51" s="3">
        <f t="shared" ref="P51:P67" si="6">IF(A51=0,0,1)</f>
        <v>1</v>
      </c>
    </row>
    <row r="52" spans="1:16" ht="18.75" customHeight="1" x14ac:dyDescent="0.35">
      <c r="A52" s="166">
        <v>53858</v>
      </c>
      <c r="B52" s="167" t="s">
        <v>302</v>
      </c>
      <c r="C52" s="166" t="s">
        <v>297</v>
      </c>
      <c r="D52" s="168">
        <v>0.6</v>
      </c>
      <c r="E52" s="169">
        <v>4.6199999999999998E-2</v>
      </c>
      <c r="F52" s="170">
        <v>7.4366168999999996E-2</v>
      </c>
      <c r="G52" s="215">
        <v>999</v>
      </c>
      <c r="H52" s="166" t="s">
        <v>22</v>
      </c>
      <c r="I52" s="171">
        <v>0</v>
      </c>
      <c r="J52" s="166" t="s">
        <v>52</v>
      </c>
      <c r="K52" s="172" t="s">
        <v>265</v>
      </c>
      <c r="L52" s="158" t="s">
        <v>34</v>
      </c>
      <c r="M52" s="3">
        <v>5</v>
      </c>
      <c r="N52" s="3" t="s">
        <v>56</v>
      </c>
      <c r="O52" s="3">
        <f t="shared" si="4"/>
        <v>1</v>
      </c>
      <c r="P52" s="3">
        <f t="shared" si="6"/>
        <v>1</v>
      </c>
    </row>
    <row r="53" spans="1:16" ht="18.75" customHeight="1" x14ac:dyDescent="0.35">
      <c r="A53" s="159">
        <v>53861</v>
      </c>
      <c r="B53" s="160" t="s">
        <v>303</v>
      </c>
      <c r="C53" s="159" t="s">
        <v>297</v>
      </c>
      <c r="D53" s="161">
        <v>0.6</v>
      </c>
      <c r="E53" s="162">
        <v>4.8099999999999997E-2</v>
      </c>
      <c r="F53" s="163">
        <v>7.4335057999999996E-2</v>
      </c>
      <c r="G53" s="214">
        <v>0</v>
      </c>
      <c r="H53" s="159" t="s">
        <v>22</v>
      </c>
      <c r="I53" s="164">
        <v>0</v>
      </c>
      <c r="J53" s="159" t="s">
        <v>52</v>
      </c>
      <c r="K53" s="165" t="s">
        <v>265</v>
      </c>
      <c r="L53" s="158" t="s">
        <v>34</v>
      </c>
      <c r="M53" s="3">
        <v>5</v>
      </c>
      <c r="N53" s="3" t="s">
        <v>56</v>
      </c>
      <c r="O53" s="3">
        <f t="shared" si="4"/>
        <v>1</v>
      </c>
      <c r="P53" s="3">
        <f t="shared" si="6"/>
        <v>1</v>
      </c>
    </row>
    <row r="54" spans="1:16" ht="18.75" customHeight="1" x14ac:dyDescent="0.35">
      <c r="A54" s="166">
        <v>53862</v>
      </c>
      <c r="B54" s="167" t="s">
        <v>302</v>
      </c>
      <c r="C54" s="166" t="s">
        <v>297</v>
      </c>
      <c r="D54" s="168">
        <v>0.75</v>
      </c>
      <c r="E54" s="169">
        <v>5.04E-2</v>
      </c>
      <c r="F54" s="170">
        <v>7.5873511000000005E-2</v>
      </c>
      <c r="G54" s="215">
        <v>999</v>
      </c>
      <c r="H54" s="166" t="s">
        <v>22</v>
      </c>
      <c r="I54" s="171">
        <v>0</v>
      </c>
      <c r="J54" s="166" t="s">
        <v>52</v>
      </c>
      <c r="K54" s="172" t="s">
        <v>265</v>
      </c>
      <c r="L54" s="158" t="s">
        <v>34</v>
      </c>
      <c r="M54" s="3">
        <v>5</v>
      </c>
      <c r="N54" s="3" t="s">
        <v>56</v>
      </c>
      <c r="O54" s="3">
        <f t="shared" si="4"/>
        <v>1</v>
      </c>
      <c r="P54" s="3">
        <f t="shared" si="6"/>
        <v>1</v>
      </c>
    </row>
    <row r="55" spans="1:16" ht="18.75" customHeight="1" thickBot="1" x14ac:dyDescent="0.4">
      <c r="A55" s="159">
        <v>53856</v>
      </c>
      <c r="B55" s="160" t="s">
        <v>303</v>
      </c>
      <c r="C55" s="159" t="s">
        <v>297</v>
      </c>
      <c r="D55" s="161">
        <v>0.75</v>
      </c>
      <c r="E55" s="162">
        <v>5.2200000000000003E-2</v>
      </c>
      <c r="F55" s="163">
        <v>7.5803028999999994E-2</v>
      </c>
      <c r="G55" s="214">
        <v>0</v>
      </c>
      <c r="H55" s="159" t="s">
        <v>22</v>
      </c>
      <c r="I55" s="164">
        <v>0</v>
      </c>
      <c r="J55" s="159" t="s">
        <v>52</v>
      </c>
      <c r="K55" s="165" t="s">
        <v>265</v>
      </c>
      <c r="L55" s="158" t="s">
        <v>34</v>
      </c>
      <c r="M55" s="3">
        <v>5</v>
      </c>
      <c r="N55" s="3" t="s">
        <v>56</v>
      </c>
      <c r="O55" s="3">
        <f t="shared" si="4"/>
        <v>1</v>
      </c>
      <c r="P55" s="3">
        <f t="shared" si="6"/>
        <v>1</v>
      </c>
    </row>
    <row r="56" spans="1:16" ht="18.75" customHeight="1" x14ac:dyDescent="0.35">
      <c r="A56" s="253" t="s">
        <v>121</v>
      </c>
      <c r="B56" s="253"/>
      <c r="C56" s="209" t="s">
        <v>214</v>
      </c>
      <c r="D56" s="210"/>
      <c r="E56" s="210"/>
      <c r="F56" s="210"/>
      <c r="G56" s="210"/>
      <c r="H56" s="210"/>
      <c r="I56" s="210"/>
      <c r="J56" s="210"/>
      <c r="K56" s="210"/>
      <c r="L56" s="1" t="s">
        <v>41</v>
      </c>
      <c r="M56" s="1">
        <v>0</v>
      </c>
      <c r="N56" s="1">
        <v>0</v>
      </c>
      <c r="O56" s="1">
        <f>IF(SUM(O57:O67)=0,0,1)</f>
        <v>1</v>
      </c>
      <c r="P56" s="1">
        <f>IF(SUM(P57:P67)=0,0,1)</f>
        <v>1</v>
      </c>
    </row>
    <row r="57" spans="1:16" ht="18.75" customHeight="1" x14ac:dyDescent="0.35">
      <c r="A57" s="159">
        <v>53870</v>
      </c>
      <c r="B57" s="160" t="s">
        <v>298</v>
      </c>
      <c r="C57" s="159" t="s">
        <v>297</v>
      </c>
      <c r="D57" s="161">
        <v>0.6</v>
      </c>
      <c r="E57" s="162">
        <v>4.9799999999999997E-2</v>
      </c>
      <c r="F57" s="163">
        <v>8.0754692000000003E-2</v>
      </c>
      <c r="G57" s="164">
        <v>1499</v>
      </c>
      <c r="H57" s="159" t="s">
        <v>22</v>
      </c>
      <c r="I57" s="164">
        <v>0</v>
      </c>
      <c r="J57" s="159" t="s">
        <v>52</v>
      </c>
      <c r="K57" s="165" t="s">
        <v>264</v>
      </c>
      <c r="L57" s="158" t="s">
        <v>41</v>
      </c>
      <c r="M57" s="3">
        <v>2</v>
      </c>
      <c r="N57" s="3" t="s">
        <v>56</v>
      </c>
      <c r="O57" s="3">
        <f t="shared" si="4"/>
        <v>1</v>
      </c>
      <c r="P57" s="3">
        <f t="shared" si="6"/>
        <v>1</v>
      </c>
    </row>
    <row r="58" spans="1:16" ht="18.75" customHeight="1" x14ac:dyDescent="0.35">
      <c r="A58" s="166">
        <v>53873</v>
      </c>
      <c r="B58" s="167" t="s">
        <v>298</v>
      </c>
      <c r="C58" s="166" t="s">
        <v>297</v>
      </c>
      <c r="D58" s="168">
        <v>0.6</v>
      </c>
      <c r="E58" s="169">
        <v>5.0900000000000001E-2</v>
      </c>
      <c r="F58" s="170">
        <v>8.1137589999999996E-2</v>
      </c>
      <c r="G58" s="171">
        <v>999</v>
      </c>
      <c r="H58" s="166" t="s">
        <v>22</v>
      </c>
      <c r="I58" s="171">
        <v>0</v>
      </c>
      <c r="J58" s="166" t="s">
        <v>52</v>
      </c>
      <c r="K58" s="172" t="s">
        <v>264</v>
      </c>
      <c r="L58" s="158" t="s">
        <v>41</v>
      </c>
      <c r="M58" s="3">
        <v>2</v>
      </c>
      <c r="N58" s="3" t="s">
        <v>56</v>
      </c>
      <c r="O58" s="3">
        <f t="shared" si="4"/>
        <v>1</v>
      </c>
      <c r="P58" s="3">
        <f t="shared" si="6"/>
        <v>1</v>
      </c>
    </row>
    <row r="59" spans="1:16" ht="18.75" customHeight="1" x14ac:dyDescent="0.35">
      <c r="A59" s="159">
        <v>53871</v>
      </c>
      <c r="B59" s="160" t="s">
        <v>299</v>
      </c>
      <c r="C59" s="159" t="s">
        <v>297</v>
      </c>
      <c r="D59" s="161">
        <v>0.6</v>
      </c>
      <c r="E59" s="162">
        <v>5.4300000000000001E-2</v>
      </c>
      <c r="F59" s="163">
        <v>8.0946610000000002E-2</v>
      </c>
      <c r="G59" s="164">
        <v>0</v>
      </c>
      <c r="H59" s="159" t="s">
        <v>22</v>
      </c>
      <c r="I59" s="164">
        <v>0</v>
      </c>
      <c r="J59" s="159" t="s">
        <v>52</v>
      </c>
      <c r="K59" s="165" t="s">
        <v>264</v>
      </c>
      <c r="L59" s="158" t="s">
        <v>41</v>
      </c>
      <c r="M59" s="3">
        <v>2</v>
      </c>
      <c r="N59" s="3" t="s">
        <v>56</v>
      </c>
      <c r="O59" s="3">
        <f t="shared" si="4"/>
        <v>1</v>
      </c>
      <c r="P59" s="3">
        <f t="shared" si="6"/>
        <v>1</v>
      </c>
    </row>
    <row r="60" spans="1:16" ht="18.75" customHeight="1" x14ac:dyDescent="0.35">
      <c r="A60" s="166">
        <v>53876</v>
      </c>
      <c r="B60" s="167" t="s">
        <v>298</v>
      </c>
      <c r="C60" s="166" t="s">
        <v>297</v>
      </c>
      <c r="D60" s="168">
        <v>0.75</v>
      </c>
      <c r="E60" s="169">
        <v>5.6399999999999999E-2</v>
      </c>
      <c r="F60" s="170">
        <v>8.2093197000000007E-2</v>
      </c>
      <c r="G60" s="171">
        <v>999</v>
      </c>
      <c r="H60" s="166" t="s">
        <v>22</v>
      </c>
      <c r="I60" s="171">
        <v>0</v>
      </c>
      <c r="J60" s="166" t="s">
        <v>52</v>
      </c>
      <c r="K60" s="172" t="s">
        <v>264</v>
      </c>
      <c r="L60" s="158" t="s">
        <v>41</v>
      </c>
      <c r="M60" s="3">
        <v>2</v>
      </c>
      <c r="N60" s="3" t="s">
        <v>56</v>
      </c>
      <c r="O60" s="3">
        <f t="shared" si="4"/>
        <v>1</v>
      </c>
      <c r="P60" s="3">
        <f t="shared" si="6"/>
        <v>1</v>
      </c>
    </row>
    <row r="61" spans="1:16" ht="18.75" customHeight="1" x14ac:dyDescent="0.35">
      <c r="A61" s="159">
        <v>53875</v>
      </c>
      <c r="B61" s="160" t="s">
        <v>299</v>
      </c>
      <c r="C61" s="159" t="s">
        <v>297</v>
      </c>
      <c r="D61" s="161">
        <v>0.75</v>
      </c>
      <c r="E61" s="162">
        <v>6.1800000000000001E-2</v>
      </c>
      <c r="F61" s="163">
        <v>8.2248036999999996E-2</v>
      </c>
      <c r="G61" s="164">
        <v>0</v>
      </c>
      <c r="H61" s="159" t="s">
        <v>22</v>
      </c>
      <c r="I61" s="164">
        <v>0</v>
      </c>
      <c r="J61" s="159" t="s">
        <v>52</v>
      </c>
      <c r="K61" s="165" t="s">
        <v>264</v>
      </c>
      <c r="L61" s="158" t="s">
        <v>41</v>
      </c>
      <c r="M61" s="3">
        <v>2</v>
      </c>
      <c r="N61" s="3" t="s">
        <v>56</v>
      </c>
      <c r="O61" s="3">
        <f t="shared" si="4"/>
        <v>1</v>
      </c>
      <c r="P61" s="3">
        <f t="shared" si="6"/>
        <v>1</v>
      </c>
    </row>
    <row r="62" spans="1:16" ht="18.75" customHeight="1" x14ac:dyDescent="0.35">
      <c r="A62" s="166">
        <v>53886</v>
      </c>
      <c r="B62" s="167" t="s">
        <v>299</v>
      </c>
      <c r="C62" s="166" t="s">
        <v>297</v>
      </c>
      <c r="D62" s="168">
        <v>1.25</v>
      </c>
      <c r="E62" s="169">
        <v>6.8400000000000002E-2</v>
      </c>
      <c r="F62" s="170">
        <v>8.3414974000000003E-2</v>
      </c>
      <c r="G62" s="171">
        <v>0</v>
      </c>
      <c r="H62" s="166" t="s">
        <v>22</v>
      </c>
      <c r="I62" s="171">
        <v>0</v>
      </c>
      <c r="J62" s="166" t="s">
        <v>52</v>
      </c>
      <c r="K62" s="172" t="s">
        <v>264</v>
      </c>
      <c r="L62" s="158" t="s">
        <v>41</v>
      </c>
      <c r="M62" s="3">
        <v>2</v>
      </c>
      <c r="N62" s="3" t="s">
        <v>56</v>
      </c>
      <c r="O62" s="3">
        <f t="shared" si="4"/>
        <v>1</v>
      </c>
      <c r="P62" s="3">
        <f t="shared" si="6"/>
        <v>1</v>
      </c>
    </row>
    <row r="63" spans="1:16" ht="18.75" customHeight="1" x14ac:dyDescent="0.35">
      <c r="A63" s="159">
        <v>53882</v>
      </c>
      <c r="B63" s="160" t="s">
        <v>302</v>
      </c>
      <c r="C63" s="159" t="s">
        <v>297</v>
      </c>
      <c r="D63" s="161">
        <v>0.6</v>
      </c>
      <c r="E63" s="162">
        <v>4.4900000000000002E-2</v>
      </c>
      <c r="F63" s="163">
        <v>7.3730724999999997E-2</v>
      </c>
      <c r="G63" s="164">
        <v>1499</v>
      </c>
      <c r="H63" s="159" t="s">
        <v>22</v>
      </c>
      <c r="I63" s="164">
        <v>0</v>
      </c>
      <c r="J63" s="159" t="s">
        <v>52</v>
      </c>
      <c r="K63" s="165" t="s">
        <v>265</v>
      </c>
      <c r="L63" s="158" t="s">
        <v>41</v>
      </c>
      <c r="M63" s="3">
        <v>5</v>
      </c>
      <c r="N63" s="3" t="s">
        <v>56</v>
      </c>
      <c r="O63" s="3">
        <f t="shared" si="4"/>
        <v>1</v>
      </c>
      <c r="P63" s="3">
        <f t="shared" si="6"/>
        <v>1</v>
      </c>
    </row>
    <row r="64" spans="1:16" ht="18.75" customHeight="1" x14ac:dyDescent="0.35">
      <c r="A64" s="166">
        <v>53884</v>
      </c>
      <c r="B64" s="167" t="s">
        <v>302</v>
      </c>
      <c r="C64" s="166" t="s">
        <v>297</v>
      </c>
      <c r="D64" s="168">
        <v>0.6</v>
      </c>
      <c r="E64" s="169">
        <v>4.6699999999999998E-2</v>
      </c>
      <c r="F64" s="170">
        <v>7.4544059999999995E-2</v>
      </c>
      <c r="G64" s="171">
        <v>999</v>
      </c>
      <c r="H64" s="166" t="s">
        <v>22</v>
      </c>
      <c r="I64" s="171">
        <v>0</v>
      </c>
      <c r="J64" s="166" t="s">
        <v>52</v>
      </c>
      <c r="K64" s="172" t="s">
        <v>265</v>
      </c>
      <c r="L64" s="158" t="s">
        <v>41</v>
      </c>
      <c r="M64" s="3">
        <v>5</v>
      </c>
      <c r="N64" s="3" t="s">
        <v>56</v>
      </c>
      <c r="O64" s="3">
        <f t="shared" si="4"/>
        <v>1</v>
      </c>
      <c r="P64" s="3">
        <f t="shared" si="6"/>
        <v>1</v>
      </c>
    </row>
    <row r="65" spans="1:16" ht="18.75" customHeight="1" x14ac:dyDescent="0.35">
      <c r="A65" s="159">
        <v>53868</v>
      </c>
      <c r="B65" s="160" t="s">
        <v>303</v>
      </c>
      <c r="C65" s="159" t="s">
        <v>297</v>
      </c>
      <c r="D65" s="161">
        <v>0.6</v>
      </c>
      <c r="E65" s="162">
        <v>4.8599999999999997E-2</v>
      </c>
      <c r="F65" s="163">
        <v>7.4512418999999996E-2</v>
      </c>
      <c r="G65" s="164">
        <v>0</v>
      </c>
      <c r="H65" s="159" t="s">
        <v>22</v>
      </c>
      <c r="I65" s="164">
        <v>0</v>
      </c>
      <c r="J65" s="159" t="s">
        <v>52</v>
      </c>
      <c r="K65" s="165" t="s">
        <v>265</v>
      </c>
      <c r="L65" s="158" t="s">
        <v>41</v>
      </c>
      <c r="M65" s="3">
        <v>5</v>
      </c>
      <c r="N65" s="3" t="s">
        <v>56</v>
      </c>
      <c r="O65" s="3">
        <f t="shared" si="4"/>
        <v>1</v>
      </c>
      <c r="P65" s="3">
        <f t="shared" si="6"/>
        <v>1</v>
      </c>
    </row>
    <row r="66" spans="1:16" ht="18.75" customHeight="1" x14ac:dyDescent="0.35">
      <c r="A66" s="166">
        <v>53885</v>
      </c>
      <c r="B66" s="167" t="s">
        <v>302</v>
      </c>
      <c r="C66" s="166" t="s">
        <v>297</v>
      </c>
      <c r="D66" s="168">
        <v>0.75</v>
      </c>
      <c r="E66" s="169">
        <v>5.1900000000000002E-2</v>
      </c>
      <c r="F66" s="170">
        <v>7.6419119999999993E-2</v>
      </c>
      <c r="G66" s="171">
        <v>999</v>
      </c>
      <c r="H66" s="166" t="s">
        <v>22</v>
      </c>
      <c r="I66" s="171">
        <v>0</v>
      </c>
      <c r="J66" s="166" t="s">
        <v>52</v>
      </c>
      <c r="K66" s="172" t="s">
        <v>265</v>
      </c>
      <c r="L66" s="158" t="s">
        <v>41</v>
      </c>
      <c r="M66" s="3">
        <v>5</v>
      </c>
      <c r="N66" s="3" t="s">
        <v>56</v>
      </c>
      <c r="O66" s="3">
        <f t="shared" si="4"/>
        <v>1</v>
      </c>
      <c r="P66" s="3">
        <f t="shared" si="6"/>
        <v>1</v>
      </c>
    </row>
    <row r="67" spans="1:16" ht="18.75" customHeight="1" thickBot="1" x14ac:dyDescent="0.4">
      <c r="A67" s="159">
        <v>53881</v>
      </c>
      <c r="B67" s="160" t="s">
        <v>303</v>
      </c>
      <c r="C67" s="159" t="s">
        <v>297</v>
      </c>
      <c r="D67" s="161">
        <v>0.75</v>
      </c>
      <c r="E67" s="162">
        <v>5.3699999999999998E-2</v>
      </c>
      <c r="F67" s="163">
        <v>7.6347258000000001E-2</v>
      </c>
      <c r="G67" s="164">
        <v>0</v>
      </c>
      <c r="H67" s="159" t="s">
        <v>22</v>
      </c>
      <c r="I67" s="164">
        <v>0</v>
      </c>
      <c r="J67" s="159" t="s">
        <v>52</v>
      </c>
      <c r="K67" s="165" t="s">
        <v>265</v>
      </c>
      <c r="L67" s="158" t="s">
        <v>41</v>
      </c>
      <c r="M67" s="3">
        <v>5</v>
      </c>
      <c r="N67" s="3" t="s">
        <v>56</v>
      </c>
      <c r="O67" s="3">
        <f t="shared" si="4"/>
        <v>1</v>
      </c>
      <c r="P67" s="3">
        <f t="shared" si="6"/>
        <v>1</v>
      </c>
    </row>
    <row r="68" spans="1:16" ht="18.75" customHeight="1" x14ac:dyDescent="0.35">
      <c r="A68" s="253" t="s">
        <v>42</v>
      </c>
      <c r="B68" s="253"/>
      <c r="C68" s="209" t="s">
        <v>214</v>
      </c>
      <c r="D68" s="210"/>
      <c r="E68" s="210"/>
      <c r="F68" s="210"/>
      <c r="G68" s="210"/>
      <c r="H68" s="210"/>
      <c r="I68" s="210"/>
      <c r="J68" s="210"/>
      <c r="K68" s="210"/>
      <c r="L68" s="1" t="s">
        <v>38</v>
      </c>
      <c r="M68" s="1">
        <v>0</v>
      </c>
      <c r="N68" s="1">
        <v>0</v>
      </c>
      <c r="O68" s="1">
        <f>IF(SUM(O69:O73)=0,0,1)</f>
        <v>1</v>
      </c>
      <c r="P68" s="1">
        <f>IF(SUM(P69:P73)=0,0,1)</f>
        <v>1</v>
      </c>
    </row>
    <row r="69" spans="1:16" ht="18.75" customHeight="1" x14ac:dyDescent="0.35">
      <c r="A69" s="166">
        <v>53817</v>
      </c>
      <c r="B69" s="167" t="s">
        <v>299</v>
      </c>
      <c r="C69" s="166" t="s">
        <v>297</v>
      </c>
      <c r="D69" s="168">
        <v>0.6</v>
      </c>
      <c r="E69" s="169">
        <v>6.1899999999999997E-2</v>
      </c>
      <c r="F69" s="170">
        <v>8.2265775999999999E-2</v>
      </c>
      <c r="G69" s="171">
        <v>0</v>
      </c>
      <c r="H69" s="166" t="s">
        <v>22</v>
      </c>
      <c r="I69" s="171">
        <v>0</v>
      </c>
      <c r="J69" s="166" t="s">
        <v>52</v>
      </c>
      <c r="K69" s="172" t="s">
        <v>264</v>
      </c>
      <c r="L69" s="158" t="s">
        <v>38</v>
      </c>
      <c r="M69" s="3">
        <v>2</v>
      </c>
      <c r="N69" s="3" t="s">
        <v>56</v>
      </c>
      <c r="O69" s="3">
        <f t="shared" ref="O69:O73" si="7">IF($C$11="More than or equal to",IF(AND(OR($C$8="",$C$8=L69),OR($C$9="",C69="Purchase &amp; Remortgage",$C$9=C69),OR($C$10="",$C$10=N69),OR($C$12="",$C$12&lt;=D69),OR($C$13="",$C$13=M69),OR($C$14="",$C$14=H69),OR($C$15="",$C$15=I69)),1,0),IF($C$11="Less than or equal to",IF(AND(OR($C$8="",$C$8=L69),OR($C$9="",C69="Purchase &amp; Remortgage",$C$9=C69),OR($C$10="",$C$10=N69),OR($C$12="",$C$12&gt;=D69),OR($C$13="",$C$13=M69),OR($C$14="",$C$14=H69),OR($C$15="",$C$15=I69)),1,0),IF(AND(OR($C$8="",$C$8=L69),OR($C$9="",C69="Purchase &amp; Remortgage",$C$9=C69),OR($C$10="",$C$10=N69),OR($C$12="",$C$12=D69),OR($C$13="",$C$13=M69),OR($C$14="",$C$14=H69),OR($C$15="",$C$15=I69)),1,0)))</f>
        <v>1</v>
      </c>
      <c r="P69" s="3">
        <f t="shared" ref="P69:P85" si="8">IF(A69=0,0,1)</f>
        <v>1</v>
      </c>
    </row>
    <row r="70" spans="1:16" ht="18.75" customHeight="1" x14ac:dyDescent="0.35">
      <c r="A70" s="159">
        <v>53889</v>
      </c>
      <c r="B70" s="160" t="s">
        <v>299</v>
      </c>
      <c r="C70" s="159" t="s">
        <v>297</v>
      </c>
      <c r="D70" s="161">
        <v>0.75</v>
      </c>
      <c r="E70" s="162">
        <v>6.7000000000000004E-2</v>
      </c>
      <c r="F70" s="163">
        <v>8.3165947000000004E-2</v>
      </c>
      <c r="G70" s="164">
        <v>0</v>
      </c>
      <c r="H70" s="159" t="s">
        <v>22</v>
      </c>
      <c r="I70" s="164">
        <v>0</v>
      </c>
      <c r="J70" s="159" t="s">
        <v>52</v>
      </c>
      <c r="K70" s="165" t="s">
        <v>264</v>
      </c>
      <c r="L70" s="158" t="s">
        <v>38</v>
      </c>
      <c r="M70" s="3">
        <v>2</v>
      </c>
      <c r="N70" s="3" t="s">
        <v>56</v>
      </c>
      <c r="O70" s="3">
        <f t="shared" si="7"/>
        <v>1</v>
      </c>
      <c r="P70" s="3">
        <f t="shared" si="8"/>
        <v>1</v>
      </c>
    </row>
    <row r="71" spans="1:16" ht="18.75" customHeight="1" x14ac:dyDescent="0.35">
      <c r="A71" s="166">
        <v>53814</v>
      </c>
      <c r="B71" s="167" t="s">
        <v>299</v>
      </c>
      <c r="C71" s="166" t="s">
        <v>297</v>
      </c>
      <c r="D71" s="168">
        <v>1.25</v>
      </c>
      <c r="E71" s="169">
        <v>7.0400000000000004E-2</v>
      </c>
      <c r="F71" s="170">
        <v>8.3772844999999999E-2</v>
      </c>
      <c r="G71" s="171">
        <v>0</v>
      </c>
      <c r="H71" s="166" t="s">
        <v>22</v>
      </c>
      <c r="I71" s="171">
        <v>0</v>
      </c>
      <c r="J71" s="166" t="s">
        <v>52</v>
      </c>
      <c r="K71" s="172" t="s">
        <v>264</v>
      </c>
      <c r="L71" s="158" t="s">
        <v>38</v>
      </c>
      <c r="M71" s="3">
        <v>2</v>
      </c>
      <c r="N71" s="3" t="s">
        <v>56</v>
      </c>
      <c r="O71" s="3">
        <f t="shared" si="7"/>
        <v>1</v>
      </c>
      <c r="P71" s="3">
        <f t="shared" si="8"/>
        <v>1</v>
      </c>
    </row>
    <row r="72" spans="1:16" ht="18.75" customHeight="1" x14ac:dyDescent="0.35">
      <c r="A72" s="159">
        <v>53815</v>
      </c>
      <c r="B72" s="160" t="s">
        <v>303</v>
      </c>
      <c r="C72" s="159" t="s">
        <v>297</v>
      </c>
      <c r="D72" s="161">
        <v>0.6</v>
      </c>
      <c r="E72" s="162">
        <v>5.6899999999999999E-2</v>
      </c>
      <c r="F72" s="163">
        <v>7.7521577999999994E-2</v>
      </c>
      <c r="G72" s="164">
        <v>0</v>
      </c>
      <c r="H72" s="159" t="s">
        <v>22</v>
      </c>
      <c r="I72" s="164">
        <v>0</v>
      </c>
      <c r="J72" s="159" t="s">
        <v>52</v>
      </c>
      <c r="K72" s="165" t="s">
        <v>265</v>
      </c>
      <c r="L72" s="158" t="s">
        <v>38</v>
      </c>
      <c r="M72" s="3">
        <v>5</v>
      </c>
      <c r="N72" s="3" t="s">
        <v>56</v>
      </c>
      <c r="O72" s="3">
        <f t="shared" si="7"/>
        <v>1</v>
      </c>
      <c r="P72" s="3">
        <f t="shared" si="8"/>
        <v>1</v>
      </c>
    </row>
    <row r="73" spans="1:16" ht="18.75" customHeight="1" thickBot="1" x14ac:dyDescent="0.4">
      <c r="A73" s="166">
        <v>53816</v>
      </c>
      <c r="B73" s="167" t="s">
        <v>303</v>
      </c>
      <c r="C73" s="166" t="s">
        <v>297</v>
      </c>
      <c r="D73" s="168">
        <v>0.75</v>
      </c>
      <c r="E73" s="169">
        <v>6.1899999999999997E-2</v>
      </c>
      <c r="F73" s="170">
        <v>7.9392193999999999E-2</v>
      </c>
      <c r="G73" s="171">
        <v>0</v>
      </c>
      <c r="H73" s="166" t="s">
        <v>22</v>
      </c>
      <c r="I73" s="171">
        <v>0</v>
      </c>
      <c r="J73" s="166" t="s">
        <v>52</v>
      </c>
      <c r="K73" s="172" t="s">
        <v>265</v>
      </c>
      <c r="L73" s="158" t="s">
        <v>38</v>
      </c>
      <c r="M73" s="3">
        <v>5</v>
      </c>
      <c r="N73" s="3" t="s">
        <v>56</v>
      </c>
      <c r="O73" s="3">
        <f t="shared" si="7"/>
        <v>1</v>
      </c>
      <c r="P73" s="3">
        <f t="shared" si="8"/>
        <v>1</v>
      </c>
    </row>
    <row r="74" spans="1:16" ht="18.75" customHeight="1" x14ac:dyDescent="0.35">
      <c r="A74" s="253" t="s">
        <v>43</v>
      </c>
      <c r="B74" s="253"/>
      <c r="C74" s="209" t="s">
        <v>214</v>
      </c>
      <c r="D74" s="210"/>
      <c r="E74" s="210"/>
      <c r="F74" s="210"/>
      <c r="G74" s="210"/>
      <c r="H74" s="210"/>
      <c r="I74" s="210"/>
      <c r="J74" s="210"/>
      <c r="K74" s="210"/>
      <c r="L74" s="1" t="s">
        <v>35</v>
      </c>
      <c r="M74" s="1">
        <v>0</v>
      </c>
      <c r="N74" s="1">
        <v>0</v>
      </c>
      <c r="O74" s="1">
        <f>IF(SUM(O75:O81)=0,0,1)</f>
        <v>1</v>
      </c>
      <c r="P74" s="1">
        <f>IF(SUM(P75:P81)=0,0,1)</f>
        <v>1</v>
      </c>
    </row>
    <row r="75" spans="1:16" ht="18.75" customHeight="1" x14ac:dyDescent="0.35">
      <c r="A75" s="159">
        <v>53823</v>
      </c>
      <c r="B75" s="160" t="s">
        <v>299</v>
      </c>
      <c r="C75" s="159" t="s">
        <v>297</v>
      </c>
      <c r="D75" s="161">
        <v>0.85</v>
      </c>
      <c r="E75" s="162">
        <v>5.3400000000000003E-2</v>
      </c>
      <c r="F75" s="163">
        <v>7.8763131E-2</v>
      </c>
      <c r="G75" s="214">
        <v>0</v>
      </c>
      <c r="H75" s="159" t="s">
        <v>22</v>
      </c>
      <c r="I75" s="164">
        <v>0</v>
      </c>
      <c r="J75" s="159" t="s">
        <v>52</v>
      </c>
      <c r="K75" s="165" t="s">
        <v>264</v>
      </c>
      <c r="L75" s="158" t="s">
        <v>35</v>
      </c>
      <c r="M75" s="3">
        <v>2</v>
      </c>
      <c r="N75" s="3" t="s">
        <v>56</v>
      </c>
      <c r="O75" s="3">
        <f>IF($C$11="More than or equal to",IF(AND(OR($C$8="",$C$8=L75),OR($C$9="",C75="Purchase &amp; Remortgage",$C$9=C75),OR($C$10="",$C$10=N75),OR($C$12="",$C$12&lt;=D75),OR($C$13="",$C$13=M75),OR($C$14="",$C$14=H75),OR($C$15="",$C$15=I75)),1,0),IF($C$11="Less than or equal to",IF(AND(OR($C$8="",$C$8=L75),OR($C$9="",C75="Purchase &amp; Remortgage",$C$9=C75),OR($C$10="",$C$10=N75),OR($C$12="",$C$12&gt;=D75),OR($C$13="",$C$13=M75),OR($C$14="",$C$14=H75),OR($C$15="",$C$15=I75)),1,0),IF(AND(OR($C$8="",$C$8=L75),OR($C$9="",C75="Purchase &amp; Remortgage",$C$9=C75),OR($C$10="",$C$10=N75),OR($C$12="",$C$12=D75),OR($C$13="",$C$13=M75),OR($C$14="",$C$14=H75),OR($C$15="",$C$15=I75)),1,0)))</f>
        <v>1</v>
      </c>
      <c r="P75" s="3">
        <f t="shared" si="8"/>
        <v>1</v>
      </c>
    </row>
    <row r="76" spans="1:16" ht="18.75" customHeight="1" x14ac:dyDescent="0.35">
      <c r="A76" s="166">
        <v>53824</v>
      </c>
      <c r="B76" s="167" t="s">
        <v>299</v>
      </c>
      <c r="C76" s="166" t="s">
        <v>297</v>
      </c>
      <c r="D76" s="168">
        <v>0.95</v>
      </c>
      <c r="E76" s="169">
        <v>6.0400000000000002E-2</v>
      </c>
      <c r="F76" s="170">
        <v>7.9962596999999996E-2</v>
      </c>
      <c r="G76" s="215">
        <v>0</v>
      </c>
      <c r="H76" s="166" t="s">
        <v>22</v>
      </c>
      <c r="I76" s="171">
        <v>0</v>
      </c>
      <c r="J76" s="166" t="s">
        <v>52</v>
      </c>
      <c r="K76" s="172" t="s">
        <v>264</v>
      </c>
      <c r="L76" s="158" t="s">
        <v>35</v>
      </c>
      <c r="M76" s="3">
        <v>2</v>
      </c>
      <c r="N76" s="3" t="s">
        <v>56</v>
      </c>
      <c r="O76" s="3">
        <f t="shared" ref="O76:O81" si="9">IF($C$11="More than or equal to",IF(AND(OR($C$8="",$C$8=L76),OR($C$9="",C76="Purchase &amp; Remortgage",$C$9=C76),OR($C$10="",$C$10=N76),OR($C$12="",$C$12&lt;=D76),OR($C$13="",$C$13=M76),OR($C$14="",$C$14=H76),OR($C$15="",$C$15=I76)),1,0),IF($C$11="Less than or equal to",IF(AND(OR($C$8="",$C$8=L76),OR($C$9="",C76="Purchase &amp; Remortgage",$C$9=C76),OR($C$10="",$C$10=N76),OR($C$12="",$C$12&gt;=D76),OR($C$13="",$C$13=M76),OR($C$14="",$C$14=H76),OR($C$15="",$C$15=I76)),1,0),IF(AND(OR($C$8="",$C$8=L76),OR($C$9="",C76="Purchase &amp; Remortgage",$C$9=C76),OR($C$10="",$C$10=N76),OR($C$12="",$C$12=D76),OR($C$13="",$C$13=M76),OR($C$14="",$C$14=H76),OR($C$15="",$C$15=I76)),1,0)))</f>
        <v>1</v>
      </c>
      <c r="P76" s="3">
        <f t="shared" si="8"/>
        <v>1</v>
      </c>
    </row>
    <row r="77" spans="1:16" ht="18.75" customHeight="1" x14ac:dyDescent="0.35">
      <c r="A77" s="159">
        <v>53820</v>
      </c>
      <c r="B77" s="160" t="s">
        <v>299</v>
      </c>
      <c r="C77" s="159" t="s">
        <v>297</v>
      </c>
      <c r="D77" s="161">
        <v>1.5</v>
      </c>
      <c r="E77" s="162">
        <v>6.7900000000000002E-2</v>
      </c>
      <c r="F77" s="163">
        <v>8.1272345999999995E-2</v>
      </c>
      <c r="G77" s="214">
        <v>0</v>
      </c>
      <c r="H77" s="159" t="s">
        <v>22</v>
      </c>
      <c r="I77" s="164">
        <v>0</v>
      </c>
      <c r="J77" s="159" t="s">
        <v>52</v>
      </c>
      <c r="K77" s="165" t="s">
        <v>264</v>
      </c>
      <c r="L77" s="158" t="s">
        <v>35</v>
      </c>
      <c r="M77" s="3">
        <v>2</v>
      </c>
      <c r="N77" s="3" t="s">
        <v>56</v>
      </c>
      <c r="O77" s="3">
        <f t="shared" si="9"/>
        <v>1</v>
      </c>
      <c r="P77" s="3">
        <f t="shared" si="8"/>
        <v>1</v>
      </c>
    </row>
    <row r="78" spans="1:16" ht="18.75" customHeight="1" x14ac:dyDescent="0.35">
      <c r="A78" s="166">
        <v>53821</v>
      </c>
      <c r="B78" s="167" t="s">
        <v>304</v>
      </c>
      <c r="C78" s="166" t="s">
        <v>297</v>
      </c>
      <c r="D78" s="168">
        <v>0.85</v>
      </c>
      <c r="E78" s="169">
        <v>5.4399999999999997E-2</v>
      </c>
      <c r="F78" s="170">
        <v>7.7392764000000003E-2</v>
      </c>
      <c r="G78" s="215">
        <v>0</v>
      </c>
      <c r="H78" s="166" t="s">
        <v>22</v>
      </c>
      <c r="I78" s="171">
        <v>0</v>
      </c>
      <c r="J78" s="166" t="s">
        <v>52</v>
      </c>
      <c r="K78" s="172" t="s">
        <v>281</v>
      </c>
      <c r="L78" s="158" t="s">
        <v>35</v>
      </c>
      <c r="M78" s="3">
        <v>3</v>
      </c>
      <c r="N78" s="3" t="s">
        <v>56</v>
      </c>
      <c r="O78" s="3">
        <f t="shared" si="9"/>
        <v>1</v>
      </c>
      <c r="P78" s="3">
        <f t="shared" si="8"/>
        <v>1</v>
      </c>
    </row>
    <row r="79" spans="1:16" ht="18.75" customHeight="1" x14ac:dyDescent="0.35">
      <c r="A79" s="159">
        <v>53818</v>
      </c>
      <c r="B79" s="160" t="s">
        <v>304</v>
      </c>
      <c r="C79" s="159" t="s">
        <v>297</v>
      </c>
      <c r="D79" s="161">
        <v>0.95</v>
      </c>
      <c r="E79" s="162">
        <v>5.6899999999999999E-2</v>
      </c>
      <c r="F79" s="163">
        <v>7.7997495999999999E-2</v>
      </c>
      <c r="G79" s="214">
        <v>0</v>
      </c>
      <c r="H79" s="159" t="s">
        <v>22</v>
      </c>
      <c r="I79" s="164">
        <v>0</v>
      </c>
      <c r="J79" s="159" t="s">
        <v>52</v>
      </c>
      <c r="K79" s="165" t="s">
        <v>281</v>
      </c>
      <c r="L79" s="158" t="s">
        <v>35</v>
      </c>
      <c r="M79" s="3">
        <v>3</v>
      </c>
      <c r="N79" s="3" t="s">
        <v>56</v>
      </c>
      <c r="O79" s="3">
        <f t="shared" si="9"/>
        <v>1</v>
      </c>
      <c r="P79" s="3">
        <f t="shared" si="8"/>
        <v>1</v>
      </c>
    </row>
    <row r="80" spans="1:16" ht="18.75" customHeight="1" x14ac:dyDescent="0.35">
      <c r="A80" s="166">
        <v>53822</v>
      </c>
      <c r="B80" s="167" t="s">
        <v>303</v>
      </c>
      <c r="C80" s="166" t="s">
        <v>297</v>
      </c>
      <c r="D80" s="168">
        <v>0.85</v>
      </c>
      <c r="E80" s="169">
        <v>4.87E-2</v>
      </c>
      <c r="F80" s="170">
        <v>7.2656448999999998E-2</v>
      </c>
      <c r="G80" s="215">
        <v>0</v>
      </c>
      <c r="H80" s="166" t="s">
        <v>22</v>
      </c>
      <c r="I80" s="171">
        <v>0</v>
      </c>
      <c r="J80" s="166" t="s">
        <v>52</v>
      </c>
      <c r="K80" s="172" t="s">
        <v>265</v>
      </c>
      <c r="L80" s="158" t="s">
        <v>35</v>
      </c>
      <c r="M80" s="3">
        <v>5</v>
      </c>
      <c r="N80" s="3" t="s">
        <v>56</v>
      </c>
      <c r="O80" s="3">
        <f t="shared" si="9"/>
        <v>1</v>
      </c>
      <c r="P80" s="3">
        <f t="shared" si="8"/>
        <v>1</v>
      </c>
    </row>
    <row r="81" spans="1:16" ht="18.75" customHeight="1" thickBot="1" x14ac:dyDescent="0.4">
      <c r="A81" s="159">
        <v>53819</v>
      </c>
      <c r="B81" s="160" t="s">
        <v>303</v>
      </c>
      <c r="C81" s="159" t="s">
        <v>297</v>
      </c>
      <c r="D81" s="161">
        <v>0.95</v>
      </c>
      <c r="E81" s="162">
        <v>5.7099999999999998E-2</v>
      </c>
      <c r="F81" s="163">
        <v>7.5683879999999995E-2</v>
      </c>
      <c r="G81" s="214">
        <v>0</v>
      </c>
      <c r="H81" s="159" t="s">
        <v>22</v>
      </c>
      <c r="I81" s="164">
        <v>0</v>
      </c>
      <c r="J81" s="159" t="s">
        <v>52</v>
      </c>
      <c r="K81" s="165" t="s">
        <v>265</v>
      </c>
      <c r="L81" s="158" t="s">
        <v>35</v>
      </c>
      <c r="M81" s="3">
        <v>5</v>
      </c>
      <c r="N81" s="3" t="s">
        <v>56</v>
      </c>
      <c r="O81" s="3">
        <f t="shared" si="9"/>
        <v>1</v>
      </c>
      <c r="P81" s="3">
        <f t="shared" si="8"/>
        <v>1</v>
      </c>
    </row>
    <row r="82" spans="1:16" ht="18.75" customHeight="1" x14ac:dyDescent="0.35">
      <c r="A82" s="253" t="s">
        <v>44</v>
      </c>
      <c r="B82" s="253"/>
      <c r="C82" s="209" t="s">
        <v>214</v>
      </c>
      <c r="D82" s="210"/>
      <c r="E82" s="210"/>
      <c r="F82" s="210"/>
      <c r="G82" s="210"/>
      <c r="H82" s="210"/>
      <c r="I82" s="210"/>
      <c r="J82" s="210"/>
      <c r="K82" s="210"/>
      <c r="L82" s="1" t="s">
        <v>36</v>
      </c>
      <c r="M82" s="1">
        <v>0</v>
      </c>
      <c r="N82" s="1">
        <v>0</v>
      </c>
      <c r="O82" s="1">
        <f>IF(SUM(O83:O85)=0,0,1)</f>
        <v>1</v>
      </c>
      <c r="P82" s="1">
        <f>IF(SUM(P83:P85)=0,0,1)</f>
        <v>1</v>
      </c>
    </row>
    <row r="83" spans="1:16" ht="18.75" customHeight="1" x14ac:dyDescent="0.35">
      <c r="A83" s="159">
        <v>53826</v>
      </c>
      <c r="B83" s="160" t="s">
        <v>299</v>
      </c>
      <c r="C83" s="159" t="s">
        <v>297</v>
      </c>
      <c r="D83" s="161">
        <v>0.75</v>
      </c>
      <c r="E83" s="162">
        <v>5.6899999999999999E-2</v>
      </c>
      <c r="F83" s="163">
        <v>7.9360822999999997E-2</v>
      </c>
      <c r="G83" s="214">
        <v>0</v>
      </c>
      <c r="H83" s="159" t="s">
        <v>22</v>
      </c>
      <c r="I83" s="164">
        <v>0</v>
      </c>
      <c r="J83" s="159" t="s">
        <v>52</v>
      </c>
      <c r="K83" s="165" t="s">
        <v>264</v>
      </c>
      <c r="L83" s="158" t="s">
        <v>36</v>
      </c>
      <c r="M83" s="3">
        <v>2</v>
      </c>
      <c r="N83" s="3" t="s">
        <v>56</v>
      </c>
      <c r="O83" s="3">
        <f>IF($C$11="More than or equal to",IF(AND(OR($C$8="",$C$8=L83),OR($C$9="",C83="Purchase &amp; Remortgage",$C$9=C83),OR($C$10="",$C$10=N83),OR($C$12="",$C$12&lt;=D83),OR($C$13="",$C$13=M83),OR($C$14="",$C$14=H83),OR($C$15="",$C$15=I83)),1,0),IF($C$11="Less than or equal to",IF(AND(OR($C$8="",$C$8=L83),OR($C$9="",C83="Purchase &amp; Remortgage",$C$9=C83),OR($C$10="",$C$10=N83),OR($C$12="",$C$12&gt;=D83),OR($C$13="",$C$13=M83),OR($C$14="",$C$14=H83),OR($C$15="",$C$15=I83)),1,0),IF(AND(OR($C$8="",$C$8=L83),OR($C$9="",C83="Purchase &amp; Remortgage",$C$9=C83),OR($C$10="",$C$10=N83),OR($C$12="",$C$12=D83),OR($C$13="",$C$13=M83),OR($C$14="",$C$14=H83),OR($C$15="",$C$15=I83)),1,0)))</f>
        <v>1</v>
      </c>
      <c r="P83" s="3">
        <f t="shared" si="8"/>
        <v>1</v>
      </c>
    </row>
    <row r="84" spans="1:16" ht="18.75" customHeight="1" x14ac:dyDescent="0.35">
      <c r="A84" s="166">
        <v>53825</v>
      </c>
      <c r="B84" s="167" t="s">
        <v>299</v>
      </c>
      <c r="C84" s="166" t="s">
        <v>297</v>
      </c>
      <c r="D84" s="168">
        <v>0.85</v>
      </c>
      <c r="E84" s="169">
        <v>5.79E-2</v>
      </c>
      <c r="F84" s="170">
        <v>7.9532318000000005E-2</v>
      </c>
      <c r="G84" s="215">
        <v>0</v>
      </c>
      <c r="H84" s="166" t="s">
        <v>22</v>
      </c>
      <c r="I84" s="171">
        <v>0</v>
      </c>
      <c r="J84" s="166" t="s">
        <v>52</v>
      </c>
      <c r="K84" s="172" t="s">
        <v>264</v>
      </c>
      <c r="L84" s="158" t="s">
        <v>36</v>
      </c>
      <c r="M84" s="3">
        <v>2</v>
      </c>
      <c r="N84" s="3" t="s">
        <v>56</v>
      </c>
      <c r="O84" s="3">
        <f t="shared" ref="O84:O85" si="10">IF($C$11="More than or equal to",IF(AND(OR($C$8="",$C$8=L84),OR($C$9="",C84="Purchase &amp; Remortgage",$C$9=C84),OR($C$10="",$C$10=N84),OR($C$12="",$C$12&lt;=D84),OR($C$13="",$C$13=M84),OR($C$14="",$C$14=H84),OR($C$15="",$C$15=I84)),1,0),IF($C$11="Less than or equal to",IF(AND(OR($C$8="",$C$8=L84),OR($C$9="",C84="Purchase &amp; Remortgage",$C$9=C84),OR($C$10="",$C$10=N84),OR($C$12="",$C$12&gt;=D84),OR($C$13="",$C$13=M84),OR($C$14="",$C$14=H84),OR($C$15="",$C$15=I84)),1,0),IF(AND(OR($C$8="",$C$8=L84),OR($C$9="",C84="Purchase &amp; Remortgage",$C$9=C84),OR($C$10="",$C$10=N84),OR($C$12="",$C$12=D84),OR($C$13="",$C$13=M84),OR($C$14="",$C$14=H84),OR($C$15="",$C$15=I84)),1,0)))</f>
        <v>1</v>
      </c>
      <c r="P84" s="3">
        <f t="shared" si="8"/>
        <v>1</v>
      </c>
    </row>
    <row r="85" spans="1:16" ht="18.75" customHeight="1" thickBot="1" x14ac:dyDescent="0.4">
      <c r="A85" s="159">
        <v>53827</v>
      </c>
      <c r="B85" s="160" t="s">
        <v>299</v>
      </c>
      <c r="C85" s="159" t="s">
        <v>297</v>
      </c>
      <c r="D85" s="161">
        <v>1.25</v>
      </c>
      <c r="E85" s="162">
        <v>6.7900000000000002E-2</v>
      </c>
      <c r="F85" s="163">
        <v>8.1272875999999994E-2</v>
      </c>
      <c r="G85" s="214">
        <v>0</v>
      </c>
      <c r="H85" s="159" t="s">
        <v>22</v>
      </c>
      <c r="I85" s="164">
        <v>0</v>
      </c>
      <c r="J85" s="159" t="s">
        <v>52</v>
      </c>
      <c r="K85" s="165" t="s">
        <v>264</v>
      </c>
      <c r="L85" s="158" t="s">
        <v>36</v>
      </c>
      <c r="M85" s="3">
        <v>2</v>
      </c>
      <c r="N85" s="3" t="s">
        <v>56</v>
      </c>
      <c r="O85" s="3">
        <f t="shared" si="10"/>
        <v>1</v>
      </c>
      <c r="P85" s="3">
        <f t="shared" si="8"/>
        <v>1</v>
      </c>
    </row>
    <row r="86" spans="1:16" ht="18.75" customHeight="1" x14ac:dyDescent="0.35">
      <c r="A86" s="253" t="s">
        <v>46</v>
      </c>
      <c r="B86" s="253"/>
      <c r="C86" s="209" t="s">
        <v>214</v>
      </c>
      <c r="D86" s="210"/>
      <c r="E86" s="210"/>
      <c r="F86" s="210"/>
      <c r="G86" s="210"/>
      <c r="H86" s="210"/>
      <c r="I86" s="210"/>
      <c r="J86" s="210"/>
      <c r="K86" s="210"/>
      <c r="L86" s="1" t="s">
        <v>47</v>
      </c>
      <c r="M86" s="1">
        <v>0</v>
      </c>
      <c r="N86" s="1">
        <v>0</v>
      </c>
      <c r="O86" s="1">
        <f>IF(SUM(O87:O88)=0,0,1)</f>
        <v>1</v>
      </c>
      <c r="P86" s="1">
        <f>IF(SUM(P87:P88)=0,0,1)</f>
        <v>1</v>
      </c>
    </row>
    <row r="87" spans="1:16" ht="18.75" customHeight="1" x14ac:dyDescent="0.35">
      <c r="A87" s="159">
        <v>53836</v>
      </c>
      <c r="B87" s="160" t="s">
        <v>299</v>
      </c>
      <c r="C87" s="159" t="s">
        <v>297</v>
      </c>
      <c r="D87" s="161">
        <v>0.75</v>
      </c>
      <c r="E87" s="162">
        <v>5.6899999999999999E-2</v>
      </c>
      <c r="F87" s="163">
        <v>7.9360822999999997E-2</v>
      </c>
      <c r="G87" s="164">
        <v>0</v>
      </c>
      <c r="H87" s="159" t="s">
        <v>22</v>
      </c>
      <c r="I87" s="164">
        <v>0</v>
      </c>
      <c r="J87" s="159" t="s">
        <v>52</v>
      </c>
      <c r="K87" s="165" t="s">
        <v>264</v>
      </c>
      <c r="L87" s="158" t="s">
        <v>47</v>
      </c>
      <c r="M87" s="3">
        <v>2</v>
      </c>
      <c r="N87" s="3" t="s">
        <v>56</v>
      </c>
      <c r="O87" s="3">
        <f>IF($C$11="More than or equal to",IF(AND(OR($C$8="",$C$8=L87),OR($C$9="",C87="Purchase &amp; Remortgage",$C$9=C87),OR($C$10="",$C$10=N87),OR($C$12="",$C$12&lt;=D87),OR($C$13="",$C$13=M87),OR($C$14="",$C$14=H87),OR($C$15="",$C$15=I87)),1,0),IF($C$11="Less than or equal to",IF(AND(OR($C$8="",$C$8=L87),OR($C$9="",C87="Purchase &amp; Remortgage",$C$9=C87),OR($C$10="",$C$10=N87),OR($C$12="",$C$12&gt;=D87),OR($C$13="",$C$13=M87),OR($C$14="",$C$14=H87),OR($C$15="",$C$15=I87)),1,0),IF(AND(OR($C$8="",$C$8=L87),OR($C$9="",C87="Purchase &amp; Remortgage",$C$9=C87),OR($C$10="",$C$10=N87),OR($C$12="",$C$12=D87),OR($C$13="",$C$13=M87),OR($C$14="",$C$14=H87),OR($C$15="",$C$15=I87)),1,0)))</f>
        <v>1</v>
      </c>
      <c r="P87" s="3">
        <f t="shared" ref="P87:P88" si="11">IF(A87=0,0,1)</f>
        <v>1</v>
      </c>
    </row>
    <row r="88" spans="1:16" ht="18.75" customHeight="1" thickBot="1" x14ac:dyDescent="0.4">
      <c r="A88" s="166">
        <v>53835</v>
      </c>
      <c r="B88" s="167" t="s">
        <v>299</v>
      </c>
      <c r="C88" s="166" t="s">
        <v>297</v>
      </c>
      <c r="D88" s="168">
        <v>0.85</v>
      </c>
      <c r="E88" s="169">
        <v>5.79E-2</v>
      </c>
      <c r="F88" s="170">
        <v>7.9532318000000005E-2</v>
      </c>
      <c r="G88" s="171">
        <v>0</v>
      </c>
      <c r="H88" s="166" t="s">
        <v>22</v>
      </c>
      <c r="I88" s="171">
        <v>0</v>
      </c>
      <c r="J88" s="166" t="s">
        <v>52</v>
      </c>
      <c r="K88" s="172" t="s">
        <v>264</v>
      </c>
      <c r="L88" s="158" t="s">
        <v>47</v>
      </c>
      <c r="M88" s="3">
        <v>2</v>
      </c>
      <c r="N88" s="3" t="s">
        <v>56</v>
      </c>
      <c r="O88" s="3">
        <f t="shared" ref="O88" si="12">IF($C$11="More than or equal to",IF(AND(OR($C$8="",$C$8=L88),OR($C$9="",C88="Purchase &amp; Remortgage",$C$9=C88),OR($C$10="",$C$10=N88),OR($C$12="",$C$12&lt;=D88),OR($C$13="",$C$13=M88),OR($C$14="",$C$14=H88),OR($C$15="",$C$15=I88)),1,0),IF($C$11="Less than or equal to",IF(AND(OR($C$8="",$C$8=L88),OR($C$9="",C88="Purchase &amp; Remortgage",$C$9=C88),OR($C$10="",$C$10=N88),OR($C$12="",$C$12&gt;=D88),OR($C$13="",$C$13=M88),OR($C$14="",$C$14=H88),OR($C$15="",$C$15=I88)),1,0),IF(AND(OR($C$8="",$C$8=L88),OR($C$9="",C88="Purchase &amp; Remortgage",$C$9=C88),OR($C$10="",$C$10=N88),OR($C$12="",$C$12=D88),OR($C$13="",$C$13=M88),OR($C$14="",$C$14=H88),OR($C$15="",$C$15=I88)),1,0)))</f>
        <v>1</v>
      </c>
      <c r="P88" s="3">
        <f t="shared" si="11"/>
        <v>1</v>
      </c>
    </row>
    <row r="89" spans="1:16" ht="18.75" customHeight="1" x14ac:dyDescent="0.35">
      <c r="A89" s="253" t="s">
        <v>91</v>
      </c>
      <c r="B89" s="253"/>
      <c r="C89" s="209" t="s">
        <v>214</v>
      </c>
      <c r="D89" s="210"/>
      <c r="E89" s="210"/>
      <c r="F89" s="210"/>
      <c r="G89" s="210"/>
      <c r="H89" s="210"/>
      <c r="I89" s="210"/>
      <c r="J89" s="210"/>
      <c r="K89" s="210"/>
      <c r="L89" s="1" t="s">
        <v>89</v>
      </c>
      <c r="M89" s="1">
        <v>0</v>
      </c>
      <c r="N89" s="1">
        <v>0</v>
      </c>
      <c r="O89" s="1">
        <f>IF(SUM(O90:O94)=0,0,1)</f>
        <v>1</v>
      </c>
      <c r="P89" s="1">
        <f>IF(SUM(P90:P94)=0,0,1)</f>
        <v>1</v>
      </c>
    </row>
    <row r="90" spans="1:16" ht="18.75" customHeight="1" x14ac:dyDescent="0.35">
      <c r="A90" s="159">
        <v>53829</v>
      </c>
      <c r="B90" s="160" t="s">
        <v>298</v>
      </c>
      <c r="C90" s="159" t="s">
        <v>297</v>
      </c>
      <c r="D90" s="161">
        <v>0.75</v>
      </c>
      <c r="E90" s="162">
        <v>6.7400000000000002E-2</v>
      </c>
      <c r="F90" s="163">
        <v>8.3677280000000007E-2</v>
      </c>
      <c r="G90" s="214">
        <v>999</v>
      </c>
      <c r="H90" s="159" t="s">
        <v>22</v>
      </c>
      <c r="I90" s="164">
        <v>0</v>
      </c>
      <c r="J90" s="159" t="s">
        <v>52</v>
      </c>
      <c r="K90" s="165" t="s">
        <v>264</v>
      </c>
      <c r="L90" s="158" t="s">
        <v>89</v>
      </c>
      <c r="M90" s="3">
        <v>2</v>
      </c>
      <c r="N90" s="3" t="s">
        <v>56</v>
      </c>
      <c r="O90" s="3">
        <f>IF($C$11="More than or equal to",IF(AND(OR($C$8="",$C$8=L90),OR($C$9="",C90="Purchase &amp; Remortgage",$C$9=C90),OR($C$10="",$C$10=N90),OR($C$12="",$C$12&lt;=D90),OR($C$13="",$C$13=M90),OR($C$14="",$C$14=H90),OR($C$15="",$C$15=I90)),1,0),IF($C$11="Less than or equal to",IF(AND(OR($C$8="",$C$8=L90),OR($C$9="",C90="Purchase &amp; Remortgage",$C$9=C90),OR($C$10="",$C$10=N90),OR($C$12="",$C$12&gt;=D90),OR($C$13="",$C$13=M90),OR($C$14="",$C$14=H90),OR($C$15="",$C$15=I90)),1,0),IF(AND(OR($C$8="",$C$8=L90),OR($C$9="",C90="Purchase &amp; Remortgage",$C$9=C90),OR($C$10="",$C$10=N90),OR($C$12="",$C$12=D90),OR($C$13="",$C$13=M90),OR($C$14="",$C$14=H90),OR($C$15="",$C$15=I90)),1,0)))</f>
        <v>1</v>
      </c>
      <c r="P90" s="3">
        <f>IF(A90=0,0,1)</f>
        <v>1</v>
      </c>
    </row>
    <row r="91" spans="1:16" ht="18.75" customHeight="1" x14ac:dyDescent="0.35">
      <c r="A91" s="166">
        <v>53831</v>
      </c>
      <c r="B91" s="167" t="s">
        <v>299</v>
      </c>
      <c r="C91" s="166" t="s">
        <v>297</v>
      </c>
      <c r="D91" s="168">
        <v>0.75</v>
      </c>
      <c r="E91" s="169">
        <v>6.9400000000000003E-2</v>
      </c>
      <c r="F91" s="170">
        <v>8.3593775999999995E-2</v>
      </c>
      <c r="G91" s="215">
        <v>0</v>
      </c>
      <c r="H91" s="166" t="s">
        <v>22</v>
      </c>
      <c r="I91" s="171">
        <v>0</v>
      </c>
      <c r="J91" s="166" t="s">
        <v>52</v>
      </c>
      <c r="K91" s="172" t="s">
        <v>264</v>
      </c>
      <c r="L91" s="158" t="s">
        <v>89</v>
      </c>
      <c r="M91" s="3">
        <v>2</v>
      </c>
      <c r="N91" s="3" t="s">
        <v>56</v>
      </c>
      <c r="O91" s="3">
        <f t="shared" ref="O91:O100" si="13">IF($C$11="More than or equal to",IF(AND(OR($C$8="",$C$8=L91),OR($C$9="",C91="Purchase &amp; Remortgage",$C$9=C91),OR($C$10="",$C$10=N91),OR($C$12="",$C$12&lt;=D91),OR($C$13="",$C$13=M91),OR($C$14="",$C$14=H91),OR($C$15="",$C$15=I91)),1,0),IF($C$11="Less than or equal to",IF(AND(OR($C$8="",$C$8=L91),OR($C$9="",C91="Purchase &amp; Remortgage",$C$9=C91),OR($C$10="",$C$10=N91),OR($C$12="",$C$12&gt;=D91),OR($C$13="",$C$13=M91),OR($C$14="",$C$14=H91),OR($C$15="",$C$15=I91)),1,0),IF(AND(OR($C$8="",$C$8=L91),OR($C$9="",C91="Purchase &amp; Remortgage",$C$9=C91),OR($C$10="",$C$10=N91),OR($C$12="",$C$12=D91),OR($C$13="",$C$13=M91),OR($C$14="",$C$14=H91),OR($C$15="",$C$15=I91)),1,0)))</f>
        <v>1</v>
      </c>
      <c r="P91" s="3">
        <f t="shared" ref="P91:P94" si="14">IF(A91=0,0,1)</f>
        <v>1</v>
      </c>
    </row>
    <row r="92" spans="1:16" ht="18.75" customHeight="1" x14ac:dyDescent="0.35">
      <c r="A92" s="159">
        <v>53830</v>
      </c>
      <c r="B92" s="160" t="s">
        <v>299</v>
      </c>
      <c r="C92" s="159" t="s">
        <v>297</v>
      </c>
      <c r="D92" s="161">
        <v>1.25</v>
      </c>
      <c r="E92" s="162">
        <v>7.5899999999999995E-2</v>
      </c>
      <c r="F92" s="163">
        <v>8.4766320000000006E-2</v>
      </c>
      <c r="G92" s="214">
        <v>0</v>
      </c>
      <c r="H92" s="159" t="s">
        <v>22</v>
      </c>
      <c r="I92" s="164">
        <v>0</v>
      </c>
      <c r="J92" s="159" t="s">
        <v>52</v>
      </c>
      <c r="K92" s="165" t="s">
        <v>264</v>
      </c>
      <c r="L92" s="158" t="s">
        <v>89</v>
      </c>
      <c r="M92" s="3">
        <v>2</v>
      </c>
      <c r="N92" s="3" t="s">
        <v>56</v>
      </c>
      <c r="O92" s="3">
        <f t="shared" si="13"/>
        <v>1</v>
      </c>
      <c r="P92" s="3">
        <f t="shared" si="14"/>
        <v>1</v>
      </c>
    </row>
    <row r="93" spans="1:16" ht="18.75" customHeight="1" x14ac:dyDescent="0.35">
      <c r="A93" s="166">
        <v>53828</v>
      </c>
      <c r="B93" s="167" t="s">
        <v>302</v>
      </c>
      <c r="C93" s="166" t="s">
        <v>297</v>
      </c>
      <c r="D93" s="168">
        <v>0.75</v>
      </c>
      <c r="E93" s="169">
        <v>6.2399999999999997E-2</v>
      </c>
      <c r="F93" s="170">
        <v>7.9964509000000003E-2</v>
      </c>
      <c r="G93" s="215">
        <v>999</v>
      </c>
      <c r="H93" s="166" t="s">
        <v>22</v>
      </c>
      <c r="I93" s="171">
        <v>0</v>
      </c>
      <c r="J93" s="166" t="s">
        <v>52</v>
      </c>
      <c r="K93" s="172" t="s">
        <v>265</v>
      </c>
      <c r="L93" s="158" t="s">
        <v>89</v>
      </c>
      <c r="M93" s="3">
        <v>5</v>
      </c>
      <c r="N93" s="3" t="s">
        <v>56</v>
      </c>
      <c r="O93" s="3">
        <f t="shared" si="13"/>
        <v>1</v>
      </c>
      <c r="P93" s="3">
        <f t="shared" si="14"/>
        <v>1</v>
      </c>
    </row>
    <row r="94" spans="1:16" ht="18.75" customHeight="1" thickBot="1" x14ac:dyDescent="0.4">
      <c r="A94" s="159">
        <v>53832</v>
      </c>
      <c r="B94" s="160" t="s">
        <v>303</v>
      </c>
      <c r="C94" s="159" t="s">
        <v>297</v>
      </c>
      <c r="D94" s="161">
        <v>0.75</v>
      </c>
      <c r="E94" s="162">
        <v>6.4399999999999999E-2</v>
      </c>
      <c r="F94" s="163">
        <v>8.0344498E-2</v>
      </c>
      <c r="G94" s="214">
        <v>0</v>
      </c>
      <c r="H94" s="159" t="s">
        <v>22</v>
      </c>
      <c r="I94" s="164">
        <v>0</v>
      </c>
      <c r="J94" s="159" t="s">
        <v>52</v>
      </c>
      <c r="K94" s="165" t="s">
        <v>265</v>
      </c>
      <c r="L94" s="158" t="s">
        <v>89</v>
      </c>
      <c r="M94" s="3">
        <v>5</v>
      </c>
      <c r="N94" s="3" t="s">
        <v>56</v>
      </c>
      <c r="O94" s="3">
        <f t="shared" si="13"/>
        <v>1</v>
      </c>
      <c r="P94" s="3">
        <f t="shared" si="14"/>
        <v>1</v>
      </c>
    </row>
    <row r="95" spans="1:16" ht="18.75" customHeight="1" x14ac:dyDescent="0.35">
      <c r="A95" s="253" t="s">
        <v>92</v>
      </c>
      <c r="B95" s="253"/>
      <c r="C95" s="209" t="s">
        <v>214</v>
      </c>
      <c r="D95" s="210"/>
      <c r="E95" s="210"/>
      <c r="F95" s="210"/>
      <c r="G95" s="210"/>
      <c r="H95" s="210"/>
      <c r="I95" s="210"/>
      <c r="J95" s="210"/>
      <c r="K95" s="210"/>
      <c r="L95" s="1" t="s">
        <v>90</v>
      </c>
      <c r="M95" s="1">
        <v>0</v>
      </c>
      <c r="N95" s="1">
        <v>0</v>
      </c>
      <c r="O95" s="1">
        <f>IF(SUM(O96:O100)=0,0,1)</f>
        <v>1</v>
      </c>
      <c r="P95" s="1">
        <f>IF(SUM(P96:P100)=0,0,1)</f>
        <v>1</v>
      </c>
    </row>
    <row r="96" spans="1:16" ht="18.75" customHeight="1" x14ac:dyDescent="0.35">
      <c r="A96" s="159">
        <v>53833</v>
      </c>
      <c r="B96" s="160" t="s">
        <v>298</v>
      </c>
      <c r="C96" s="159" t="s">
        <v>297</v>
      </c>
      <c r="D96" s="161">
        <v>0.75</v>
      </c>
      <c r="E96" s="162">
        <v>6.8400000000000002E-2</v>
      </c>
      <c r="F96" s="163">
        <v>8.3856612999999997E-2</v>
      </c>
      <c r="G96" s="214">
        <v>999</v>
      </c>
      <c r="H96" s="159" t="s">
        <v>22</v>
      </c>
      <c r="I96" s="164">
        <v>0</v>
      </c>
      <c r="J96" s="159" t="s">
        <v>52</v>
      </c>
      <c r="K96" s="165" t="s">
        <v>264</v>
      </c>
      <c r="L96" s="158" t="s">
        <v>90</v>
      </c>
      <c r="M96" s="3">
        <v>2</v>
      </c>
      <c r="N96" s="3" t="s">
        <v>56</v>
      </c>
      <c r="O96" s="3">
        <f t="shared" si="13"/>
        <v>1</v>
      </c>
      <c r="P96" s="3">
        <f>IF(A96=0,0,1)</f>
        <v>1</v>
      </c>
    </row>
    <row r="97" spans="1:16" ht="18.75" customHeight="1" x14ac:dyDescent="0.35">
      <c r="A97" s="166">
        <v>53839</v>
      </c>
      <c r="B97" s="167" t="s">
        <v>299</v>
      </c>
      <c r="C97" s="166" t="s">
        <v>297</v>
      </c>
      <c r="D97" s="168">
        <v>0.75</v>
      </c>
      <c r="E97" s="169">
        <v>7.0400000000000004E-2</v>
      </c>
      <c r="F97" s="170">
        <v>8.3772953999999997E-2</v>
      </c>
      <c r="G97" s="215">
        <v>0</v>
      </c>
      <c r="H97" s="166" t="s">
        <v>22</v>
      </c>
      <c r="I97" s="171">
        <v>0</v>
      </c>
      <c r="J97" s="166" t="s">
        <v>52</v>
      </c>
      <c r="K97" s="172" t="s">
        <v>264</v>
      </c>
      <c r="L97" s="158" t="s">
        <v>90</v>
      </c>
      <c r="M97" s="3">
        <v>2</v>
      </c>
      <c r="N97" s="3" t="s">
        <v>56</v>
      </c>
      <c r="O97" s="3">
        <f t="shared" si="13"/>
        <v>1</v>
      </c>
      <c r="P97" s="3">
        <f t="shared" ref="P97:P100" si="15">IF(A97=0,0,1)</f>
        <v>1</v>
      </c>
    </row>
    <row r="98" spans="1:16" ht="18.75" customHeight="1" x14ac:dyDescent="0.35">
      <c r="A98" s="159">
        <v>53837</v>
      </c>
      <c r="B98" s="160" t="s">
        <v>299</v>
      </c>
      <c r="C98" s="159" t="s">
        <v>297</v>
      </c>
      <c r="D98" s="161">
        <v>1.25</v>
      </c>
      <c r="E98" s="162">
        <v>7.6899999999999996E-2</v>
      </c>
      <c r="F98" s="163">
        <v>8.4948575999999998E-2</v>
      </c>
      <c r="G98" s="214">
        <v>0</v>
      </c>
      <c r="H98" s="159" t="s">
        <v>22</v>
      </c>
      <c r="I98" s="164">
        <v>0</v>
      </c>
      <c r="J98" s="159" t="s">
        <v>52</v>
      </c>
      <c r="K98" s="165" t="s">
        <v>264</v>
      </c>
      <c r="L98" s="158" t="s">
        <v>90</v>
      </c>
      <c r="M98" s="3">
        <v>2</v>
      </c>
      <c r="N98" s="3" t="s">
        <v>56</v>
      </c>
      <c r="O98" s="3">
        <f t="shared" si="13"/>
        <v>1</v>
      </c>
      <c r="P98" s="3">
        <f t="shared" si="15"/>
        <v>1</v>
      </c>
    </row>
    <row r="99" spans="1:16" ht="18.75" customHeight="1" x14ac:dyDescent="0.35">
      <c r="A99" s="166">
        <v>53838</v>
      </c>
      <c r="B99" s="167" t="s">
        <v>302</v>
      </c>
      <c r="C99" s="166" t="s">
        <v>297</v>
      </c>
      <c r="D99" s="168">
        <v>0.75</v>
      </c>
      <c r="E99" s="169">
        <v>6.3399999999999998E-2</v>
      </c>
      <c r="F99" s="170">
        <v>8.0382316999999995E-2</v>
      </c>
      <c r="G99" s="215">
        <v>999</v>
      </c>
      <c r="H99" s="166" t="s">
        <v>22</v>
      </c>
      <c r="I99" s="171">
        <v>0</v>
      </c>
      <c r="J99" s="166" t="s">
        <v>52</v>
      </c>
      <c r="K99" s="172" t="s">
        <v>265</v>
      </c>
      <c r="L99" s="158" t="s">
        <v>90</v>
      </c>
      <c r="M99" s="3">
        <v>5</v>
      </c>
      <c r="N99" s="3" t="s">
        <v>56</v>
      </c>
      <c r="O99" s="3">
        <f t="shared" si="13"/>
        <v>1</v>
      </c>
      <c r="P99" s="3">
        <f t="shared" si="15"/>
        <v>1</v>
      </c>
    </row>
    <row r="100" spans="1:16" ht="18.75" customHeight="1" x14ac:dyDescent="0.35">
      <c r="A100" s="159">
        <v>53834</v>
      </c>
      <c r="B100" s="160" t="s">
        <v>303</v>
      </c>
      <c r="C100" s="159" t="s">
        <v>297</v>
      </c>
      <c r="D100" s="161">
        <v>0.75</v>
      </c>
      <c r="E100" s="162">
        <v>6.54E-2</v>
      </c>
      <c r="F100" s="163">
        <v>8.0728658999999994E-2</v>
      </c>
      <c r="G100" s="214">
        <v>0</v>
      </c>
      <c r="H100" s="159" t="s">
        <v>22</v>
      </c>
      <c r="I100" s="164">
        <v>0</v>
      </c>
      <c r="J100" s="159" t="s">
        <v>52</v>
      </c>
      <c r="K100" s="165" t="s">
        <v>265</v>
      </c>
      <c r="L100" s="158" t="s">
        <v>90</v>
      </c>
      <c r="M100" s="3">
        <v>5</v>
      </c>
      <c r="N100" s="3" t="s">
        <v>56</v>
      </c>
      <c r="O100" s="3">
        <f t="shared" si="13"/>
        <v>1</v>
      </c>
      <c r="P100" s="3">
        <f t="shared" si="15"/>
        <v>1</v>
      </c>
    </row>
  </sheetData>
  <mergeCells count="15">
    <mergeCell ref="A32:B32"/>
    <mergeCell ref="G2:J3"/>
    <mergeCell ref="H5:J5"/>
    <mergeCell ref="B11:B12"/>
    <mergeCell ref="D28:E28"/>
    <mergeCell ref="F28:H28"/>
    <mergeCell ref="A89:B89"/>
    <mergeCell ref="A95:B95"/>
    <mergeCell ref="A82:B82"/>
    <mergeCell ref="A86:B86"/>
    <mergeCell ref="A38:B38"/>
    <mergeCell ref="A44:B44"/>
    <mergeCell ref="A56:B56"/>
    <mergeCell ref="A68:B68"/>
    <mergeCell ref="A74:B74"/>
  </mergeCells>
  <conditionalFormatting sqref="B28">
    <cfRule type="expression" dxfId="1" priority="1">
      <formula>$B$28="Use the 'FINALISE B' Button"</formula>
    </cfRule>
    <cfRule type="expression" dxfId="0" priority="2">
      <formula>$B$28="Use the 'FINALISE A' Button"</formula>
    </cfRule>
  </conditionalFormatting>
  <dataValidations count="10">
    <dataValidation type="list" errorStyle="information" allowBlank="1" showInputMessage="1" showErrorMessage="1" errorTitle="User Information" error="You need to select a valid segment, or leave blank to return all." sqref="C8" xr:uid="{C15D1101-159D-4E69-86F1-9B35A209F46A}">
      <formula1>$M$2:$M$17</formula1>
    </dataValidation>
    <dataValidation type="list" errorStyle="information" allowBlank="1" showInputMessage="1" showErrorMessage="1" errorTitle="User Information" error="You need to select a valid segment, or leave blank to return all." sqref="C14" xr:uid="{E8AC88FB-5D7B-4237-85EA-28FC53364405}">
      <formula1>"Legal, Legal &amp; Valuation, None, Valuation"</formula1>
    </dataValidation>
    <dataValidation type="list" errorStyle="information" allowBlank="1" showInputMessage="1" showErrorMessage="1" errorTitle="User Information" error="You need to select a valid segment, or leave blank to return all." sqref="C15" xr:uid="{B035DD91-73E0-4378-B2DB-44BAFE3722A9}">
      <formula1>"£0, £250, £500, £750, £1000"</formula1>
    </dataValidation>
    <dataValidation type="list" errorStyle="information" allowBlank="1" showInputMessage="1" showErrorMessage="1" errorTitle="User Information" error="You need to select a valid segment, or leave blank to return all." sqref="C11" xr:uid="{891DF918-370E-4D47-B7C6-7AA4C43E5854}">
      <formula1>"Exactly,Less than or equal to,More than or equal to"</formula1>
    </dataValidation>
    <dataValidation type="list" allowBlank="1" showInputMessage="1" showErrorMessage="1" sqref="F28:H28" xr:uid="{CFBC3912-029D-4070-B5FE-E77C4220545F}">
      <formula1>"Acquisition (Comparison), Acquisition (Guide)"</formula1>
    </dataValidation>
    <dataValidation type="date" allowBlank="1" showInputMessage="1" showErrorMessage="1" sqref="B25" xr:uid="{D4D33858-A5FB-4E6E-B141-153913BF799A}">
      <formula1>42736</formula1>
      <formula2>72686</formula2>
    </dataValidation>
    <dataValidation type="list" errorStyle="information" allowBlank="1" showInputMessage="1" showErrorMessage="1" errorTitle="User Information" error="You need to select a valid segment, or leave blank to return all." sqref="C9" xr:uid="{05C00F15-E6D6-4A32-B4A7-C246AB7415AC}">
      <formula1>"Purchase, Remortgage"</formula1>
    </dataValidation>
    <dataValidation type="list" errorStyle="information" allowBlank="1" showInputMessage="1" showErrorMessage="1" errorTitle="User Information" error="You need to select a valid segment, or leave blank to return all." sqref="C10" xr:uid="{D7C65425-1101-4FF2-8502-8AC1969963A2}">
      <formula1>"Discount, Fixed, Tracker, Variable"</formula1>
    </dataValidation>
    <dataValidation type="list" errorStyle="information" allowBlank="1" showInputMessage="1" showErrorMessage="1" errorTitle="User Information" error="You need to select a valid segment, or leave blank to return all." sqref="C12" xr:uid="{87B44083-0F6A-44E4-A23E-01EEC4E96926}">
      <formula1>"55%, 60%, 65%, 70%, 75%, 80%, 85%, 90%, 95%"</formula1>
    </dataValidation>
    <dataValidation type="list" errorStyle="information" allowBlank="1" showInputMessage="1" showErrorMessage="1" errorTitle="User Information" error="You need to select a valid segment, or leave blank to return all." sqref="C13" xr:uid="{EE0780CF-F018-45EC-AD02-44BA12794D8D}">
      <formula1>"2, 3, 5, 10"</formula1>
    </dataValidation>
  </dataValidations>
  <pageMargins left="0.7" right="0.7" top="0.75" bottom="0.75" header="0.3" footer="0.3"/>
  <pageSetup paperSize="9" scale="4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0707-A22D-42F0-8230-02C036B00A42}">
  <sheetPr codeName="Additional1">
    <pageSetUpPr fitToPage="1"/>
  </sheetPr>
  <dimension ref="A1:AA71"/>
  <sheetViews>
    <sheetView zoomScale="85" zoomScaleNormal="85" workbookViewId="0">
      <selection activeCell="B5" sqref="B5"/>
    </sheetView>
  </sheetViews>
  <sheetFormatPr defaultColWidth="0" defaultRowHeight="0" customHeight="1" zeroHeight="1" x14ac:dyDescent="0.35"/>
  <cols>
    <col min="1" max="26" width="7.453125" style="40" customWidth="1"/>
    <col min="27" max="27" width="0" style="10" hidden="1" customWidth="1"/>
    <col min="28" max="16384" width="9.453125" style="10" hidden="1"/>
  </cols>
  <sheetData>
    <row r="1" spans="1:26" ht="18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.75" customHeight="1" x14ac:dyDescent="0.35">
      <c r="A2" s="21"/>
      <c r="B2" s="21"/>
      <c r="C2" s="21"/>
      <c r="D2" s="21"/>
      <c r="E2" s="21"/>
      <c r="F2" s="21"/>
      <c r="G2" s="36"/>
      <c r="H2" s="36"/>
      <c r="I2" s="36"/>
      <c r="J2" s="36"/>
      <c r="K2" s="36"/>
      <c r="L2" s="21"/>
      <c r="M2" s="38"/>
      <c r="N2" s="38"/>
      <c r="O2" s="38"/>
      <c r="P2" s="38"/>
      <c r="Q2" s="38"/>
      <c r="R2" s="270" t="s">
        <v>81</v>
      </c>
      <c r="S2" s="271"/>
      <c r="T2" s="271"/>
      <c r="U2" s="271"/>
      <c r="V2" s="271"/>
      <c r="W2" s="271"/>
      <c r="X2" s="271"/>
      <c r="Y2" s="272"/>
      <c r="Z2" s="36"/>
    </row>
    <row r="3" spans="1:26" ht="18.75" customHeight="1" x14ac:dyDescent="0.35">
      <c r="A3" s="21"/>
      <c r="B3" s="21"/>
      <c r="C3" s="21"/>
      <c r="D3" s="21"/>
      <c r="E3" s="21"/>
      <c r="F3" s="21"/>
      <c r="G3" s="36"/>
      <c r="H3" s="36"/>
      <c r="I3" s="36"/>
      <c r="J3" s="36"/>
      <c r="K3" s="36"/>
      <c r="L3" s="21"/>
      <c r="M3" s="38"/>
      <c r="N3" s="38"/>
      <c r="O3" s="38"/>
      <c r="P3" s="38"/>
      <c r="Q3" s="38"/>
      <c r="R3" s="273"/>
      <c r="S3" s="274"/>
      <c r="T3" s="274"/>
      <c r="U3" s="274"/>
      <c r="V3" s="274"/>
      <c r="W3" s="274"/>
      <c r="X3" s="274"/>
      <c r="Y3" s="275"/>
      <c r="Z3" s="36"/>
    </row>
    <row r="4" spans="1:26" ht="18.7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30" customHeight="1" x14ac:dyDescent="0.35">
      <c r="A5" s="21"/>
      <c r="B5" s="22" t="s">
        <v>198</v>
      </c>
      <c r="C5" s="21"/>
      <c r="D5" s="21"/>
      <c r="E5" s="21"/>
      <c r="F5" s="21"/>
      <c r="G5" s="21"/>
      <c r="H5" s="37"/>
      <c r="I5" s="37"/>
      <c r="J5" s="37"/>
      <c r="K5" s="37"/>
      <c r="L5" s="21"/>
      <c r="M5" s="38"/>
      <c r="N5" s="38"/>
      <c r="O5" s="38"/>
      <c r="P5" s="38"/>
      <c r="Q5" s="38"/>
      <c r="R5" s="276"/>
      <c r="S5" s="276"/>
      <c r="T5" s="276"/>
      <c r="U5" s="190"/>
      <c r="V5" s="190"/>
      <c r="W5" s="190"/>
      <c r="X5" s="190"/>
      <c r="Y5" s="190"/>
      <c r="Z5" s="190"/>
    </row>
    <row r="6" spans="1:26" ht="18.75" customHeight="1" thickBo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8.75" customHeight="1" x14ac:dyDescent="0.35"/>
    <row r="8" spans="1:26" ht="18.75" customHeight="1" x14ac:dyDescent="0.35">
      <c r="B8" s="42" t="s">
        <v>72</v>
      </c>
      <c r="C8" s="43"/>
      <c r="D8" s="44"/>
      <c r="E8" s="44"/>
      <c r="F8" s="279">
        <v>8.2400000000000001E-2</v>
      </c>
      <c r="G8" s="279"/>
      <c r="H8" s="279"/>
      <c r="I8" s="44"/>
      <c r="J8" s="42" t="s">
        <v>72</v>
      </c>
      <c r="K8" s="43"/>
      <c r="L8" s="44"/>
      <c r="M8" s="44"/>
      <c r="N8" s="279">
        <v>8.5400000000000004E-2</v>
      </c>
      <c r="O8" s="279"/>
      <c r="P8" s="279"/>
    </row>
    <row r="9" spans="1:26" ht="18.75" customHeight="1" x14ac:dyDescent="0.35">
      <c r="B9" s="281" t="s">
        <v>73</v>
      </c>
      <c r="C9" s="281"/>
      <c r="D9" s="281"/>
      <c r="E9" s="281"/>
      <c r="F9" s="279"/>
      <c r="G9" s="279"/>
      <c r="H9" s="279"/>
      <c r="I9" s="45"/>
      <c r="J9" s="281" t="s">
        <v>74</v>
      </c>
      <c r="K9" s="281"/>
      <c r="L9" s="281"/>
      <c r="M9" s="281"/>
      <c r="N9" s="279"/>
      <c r="O9" s="279"/>
      <c r="P9" s="279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8.75" customHeight="1" x14ac:dyDescent="0.35">
      <c r="B10" s="43"/>
      <c r="C10" s="43"/>
      <c r="D10" s="44"/>
      <c r="E10" s="44"/>
      <c r="F10" s="279"/>
      <c r="G10" s="279"/>
      <c r="H10" s="279"/>
      <c r="I10" s="45"/>
      <c r="J10" s="46"/>
      <c r="K10" s="46"/>
      <c r="L10" s="53"/>
      <c r="M10" s="53"/>
      <c r="N10" s="279"/>
      <c r="O10" s="279"/>
      <c r="P10" s="279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8.75" customHeight="1" x14ac:dyDescent="0.35">
      <c r="B11" s="43"/>
      <c r="C11" s="43"/>
      <c r="D11" s="44"/>
      <c r="E11" s="44"/>
      <c r="I11" s="45"/>
      <c r="J11" s="45"/>
      <c r="M11" s="47"/>
    </row>
    <row r="12" spans="1:26" ht="18.75" customHeight="1" x14ac:dyDescent="0.35">
      <c r="B12" s="192"/>
      <c r="C12" s="192"/>
      <c r="D12" s="193"/>
      <c r="E12" s="193"/>
      <c r="F12" s="194"/>
      <c r="G12" s="194"/>
      <c r="H12" s="194"/>
      <c r="I12" s="195"/>
      <c r="J12" s="195"/>
      <c r="K12" s="194"/>
      <c r="L12" s="194"/>
      <c r="M12" s="196"/>
      <c r="N12" s="194"/>
      <c r="O12" s="194"/>
      <c r="P12" s="194"/>
      <c r="Q12" s="194"/>
      <c r="R12" s="194"/>
      <c r="S12" s="194"/>
      <c r="T12" s="194"/>
    </row>
    <row r="13" spans="1:26" ht="18.75" customHeight="1" x14ac:dyDescent="0.35">
      <c r="B13" s="280" t="s">
        <v>200</v>
      </c>
      <c r="C13" s="280"/>
      <c r="D13" s="280"/>
      <c r="E13" s="280"/>
      <c r="F13" s="280"/>
      <c r="G13" s="280"/>
    </row>
    <row r="14" spans="1:26" ht="18.75" customHeight="1" x14ac:dyDescent="0.35">
      <c r="B14" s="281"/>
      <c r="C14" s="281"/>
      <c r="D14" s="281"/>
      <c r="E14" s="281"/>
    </row>
    <row r="15" spans="1:26" ht="18.75" customHeight="1" x14ac:dyDescent="0.35">
      <c r="B15" s="48" t="s">
        <v>79</v>
      </c>
      <c r="D15" s="45"/>
      <c r="E15" s="45"/>
      <c r="H15" s="47"/>
    </row>
    <row r="16" spans="1:26" ht="18.75" customHeight="1" x14ac:dyDescent="0.35">
      <c r="B16" s="282" t="s">
        <v>193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</row>
    <row r="17" spans="1:26" ht="18.75" customHeight="1" x14ac:dyDescent="0.35">
      <c r="B17" s="283" t="s">
        <v>291</v>
      </c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</row>
    <row r="18" spans="1:26" ht="18.75" customHeight="1" x14ac:dyDescent="0.3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26" ht="18.75" customHeight="1" x14ac:dyDescent="0.35">
      <c r="B19" s="282" t="s">
        <v>194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</row>
    <row r="20" spans="1:26" ht="18.75" customHeight="1" x14ac:dyDescent="0.35">
      <c r="B20" s="283" t="s">
        <v>292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</row>
    <row r="21" spans="1:26" s="41" customFormat="1" ht="18.75" customHeight="1" x14ac:dyDescent="0.35">
      <c r="A21" s="4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s="41" customFormat="1" ht="18.75" customHeight="1" x14ac:dyDescent="0.35">
      <c r="A22" s="40"/>
      <c r="B22" s="282" t="s">
        <v>199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124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26" s="41" customFormat="1" ht="18.75" customHeight="1" x14ac:dyDescent="0.35">
      <c r="A23" s="40"/>
      <c r="B23" s="283" t="s">
        <v>293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1" customFormat="1" ht="18.649999999999999" customHeight="1" x14ac:dyDescent="0.35">
      <c r="A24" s="40"/>
      <c r="B24" s="52"/>
      <c r="C24" s="52"/>
      <c r="D24" s="52"/>
      <c r="E24" s="52"/>
      <c r="F24" s="40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26" s="41" customFormat="1" ht="18" customHeight="1" x14ac:dyDescent="0.35">
      <c r="A25" s="40"/>
      <c r="B25" s="192"/>
      <c r="C25" s="192"/>
      <c r="D25" s="193"/>
      <c r="E25" s="193"/>
      <c r="F25" s="194"/>
      <c r="G25" s="194"/>
      <c r="H25" s="194"/>
      <c r="I25" s="195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8"/>
      <c r="U25" s="187"/>
      <c r="V25" s="187"/>
      <c r="W25" s="187"/>
      <c r="X25" s="187"/>
      <c r="Y25" s="187"/>
      <c r="Z25" s="187"/>
    </row>
    <row r="26" spans="1:26" s="41" customFormat="1" ht="18.649999999999999" customHeight="1" x14ac:dyDescent="0.35">
      <c r="A26" s="40"/>
      <c r="B26" s="280" t="s">
        <v>201</v>
      </c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191"/>
      <c r="N26" s="191"/>
      <c r="O26" s="191"/>
      <c r="P26" s="191"/>
      <c r="Q26" s="191"/>
      <c r="R26" s="191"/>
      <c r="S26" s="191"/>
      <c r="T26" s="187"/>
      <c r="U26" s="187"/>
      <c r="V26" s="187"/>
      <c r="W26" s="187"/>
      <c r="X26" s="187"/>
      <c r="Y26" s="187"/>
      <c r="Z26" s="187"/>
    </row>
    <row r="27" spans="1:26" s="41" customFormat="1" ht="18.649999999999999" customHeight="1" x14ac:dyDescent="0.3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191"/>
      <c r="L27" s="191"/>
      <c r="M27" s="191"/>
      <c r="N27" s="191"/>
      <c r="O27" s="191"/>
      <c r="P27" s="191"/>
      <c r="Q27" s="191"/>
      <c r="R27" s="191"/>
      <c r="S27" s="191"/>
      <c r="T27" s="187"/>
      <c r="U27" s="187"/>
      <c r="V27" s="187"/>
      <c r="W27" s="187"/>
      <c r="X27" s="187"/>
      <c r="Y27" s="187"/>
      <c r="Z27" s="187"/>
    </row>
    <row r="28" spans="1:26" s="41" customFormat="1" ht="18.75" customHeight="1" x14ac:dyDescent="0.35">
      <c r="A28" s="40"/>
      <c r="B28" s="199" t="s">
        <v>195</v>
      </c>
      <c r="C28" s="199"/>
      <c r="D28" s="47"/>
      <c r="E28" s="47"/>
      <c r="F28" s="47"/>
      <c r="G28" s="47"/>
      <c r="H28" s="47"/>
      <c r="I28" s="47"/>
      <c r="J28" s="47"/>
      <c r="K28" s="199"/>
      <c r="L28" s="199"/>
      <c r="M28" s="199"/>
      <c r="N28" s="199"/>
      <c r="O28" s="199"/>
      <c r="P28" s="199"/>
      <c r="Q28" s="191"/>
      <c r="R28" s="191"/>
      <c r="S28" s="191"/>
      <c r="T28" s="187"/>
      <c r="U28" s="187"/>
      <c r="V28" s="187"/>
      <c r="W28" s="187"/>
      <c r="X28" s="187"/>
      <c r="Y28" s="187"/>
      <c r="Z28" s="187"/>
    </row>
    <row r="29" spans="1:26" s="41" customFormat="1" ht="18.75" customHeight="1" x14ac:dyDescent="0.35">
      <c r="A29" s="40"/>
      <c r="B29" s="200" t="s">
        <v>196</v>
      </c>
      <c r="C29" s="187"/>
      <c r="D29" s="40"/>
      <c r="E29" s="40"/>
      <c r="F29" s="40"/>
      <c r="G29" s="40"/>
      <c r="H29" s="40"/>
      <c r="I29" s="40"/>
      <c r="J29" s="40"/>
      <c r="K29" s="191"/>
      <c r="L29" s="191"/>
      <c r="M29" s="191"/>
      <c r="N29" s="191"/>
      <c r="O29" s="191"/>
      <c r="P29" s="191"/>
      <c r="Q29" s="191"/>
      <c r="R29" s="191"/>
      <c r="S29" s="191"/>
      <c r="T29" s="187"/>
      <c r="U29" s="187"/>
      <c r="V29" s="187"/>
      <c r="W29" s="187"/>
      <c r="X29" s="187"/>
      <c r="Y29" s="187"/>
      <c r="Z29" s="187"/>
    </row>
    <row r="30" spans="1:26" s="41" customFormat="1" ht="18.649999999999999" customHeight="1" x14ac:dyDescent="0.35">
      <c r="A30" s="40"/>
      <c r="B30" s="43"/>
      <c r="C30" s="43"/>
      <c r="D30" s="44"/>
      <c r="E30" s="44"/>
      <c r="F30" s="40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187"/>
      <c r="U30" s="187"/>
      <c r="V30" s="187"/>
      <c r="W30" s="187"/>
      <c r="X30" s="187"/>
      <c r="Y30" s="187"/>
      <c r="Z30" s="187"/>
    </row>
    <row r="31" spans="1:26" s="41" customFormat="1" ht="18.75" customHeight="1" x14ac:dyDescent="0.35">
      <c r="A31" s="40"/>
      <c r="B31" s="192"/>
      <c r="C31" s="192"/>
      <c r="D31" s="193"/>
      <c r="E31" s="193"/>
      <c r="F31" s="194"/>
      <c r="G31" s="194"/>
      <c r="H31" s="194"/>
      <c r="I31" s="195"/>
      <c r="J31" s="195"/>
      <c r="K31" s="194"/>
      <c r="L31" s="194"/>
      <c r="M31" s="196"/>
      <c r="N31" s="194"/>
      <c r="O31" s="194"/>
      <c r="P31" s="194"/>
      <c r="Q31" s="194"/>
      <c r="R31" s="194"/>
      <c r="S31" s="194"/>
      <c r="T31" s="194"/>
      <c r="U31" s="40"/>
      <c r="V31" s="187"/>
      <c r="W31" s="187"/>
      <c r="X31" s="187"/>
      <c r="Y31" s="187"/>
      <c r="Z31" s="187"/>
    </row>
    <row r="32" spans="1:26" s="41" customFormat="1" ht="18.75" customHeight="1" x14ac:dyDescent="0.35">
      <c r="A32" s="40"/>
      <c r="B32" s="280" t="s">
        <v>262</v>
      </c>
      <c r="C32" s="280"/>
      <c r="D32" s="280"/>
      <c r="E32" s="280"/>
      <c r="F32" s="280"/>
      <c r="G32" s="280"/>
      <c r="H32" s="280"/>
      <c r="I32" s="48"/>
      <c r="J32" s="48"/>
      <c r="K32" s="40"/>
      <c r="L32" s="40"/>
      <c r="M32" s="47"/>
      <c r="N32" s="40"/>
      <c r="O32" s="40"/>
      <c r="P32" s="40"/>
      <c r="Q32" s="40"/>
      <c r="R32" s="40"/>
      <c r="S32" s="40"/>
      <c r="T32" s="40"/>
      <c r="U32" s="40"/>
      <c r="V32" s="187"/>
      <c r="W32" s="187"/>
      <c r="X32" s="187"/>
      <c r="Y32" s="187"/>
      <c r="Z32" s="187"/>
    </row>
    <row r="33" spans="1:26" s="41" customFormat="1" ht="18.75" customHeight="1" x14ac:dyDescent="0.35">
      <c r="A33" s="40"/>
      <c r="B33" s="281"/>
      <c r="C33" s="281"/>
      <c r="D33" s="281"/>
      <c r="E33" s="281"/>
      <c r="F33" s="281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187"/>
      <c r="W33" s="187"/>
      <c r="X33" s="187"/>
      <c r="Y33" s="187"/>
      <c r="Z33" s="187"/>
    </row>
    <row r="34" spans="1:26" s="41" customFormat="1" ht="18.75" customHeight="1" x14ac:dyDescent="0.35">
      <c r="A34" s="40"/>
      <c r="B34" s="126" t="s">
        <v>263</v>
      </c>
      <c r="C34" s="52"/>
      <c r="D34" s="52"/>
      <c r="E34" s="52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187"/>
      <c r="W34" s="187"/>
      <c r="X34" s="187"/>
      <c r="Y34" s="187"/>
      <c r="Z34" s="187"/>
    </row>
    <row r="35" spans="1:26" s="41" customFormat="1" ht="18.75" customHeight="1" x14ac:dyDescent="0.35">
      <c r="A35" s="40"/>
      <c r="B35" s="43"/>
      <c r="C35" s="43"/>
      <c r="D35" s="44"/>
      <c r="E35" s="44"/>
      <c r="F35" s="40"/>
      <c r="G35" s="40"/>
      <c r="H35" s="40"/>
      <c r="I35" s="45"/>
      <c r="J35" s="45"/>
      <c r="K35" s="40"/>
      <c r="L35" s="40"/>
      <c r="M35" s="47"/>
      <c r="N35" s="40"/>
      <c r="O35" s="40"/>
      <c r="P35" s="40"/>
      <c r="Q35" s="40"/>
      <c r="R35" s="40"/>
      <c r="S35" s="40"/>
      <c r="T35" s="40"/>
      <c r="U35" s="40"/>
      <c r="V35" s="187"/>
      <c r="W35" s="187"/>
      <c r="X35" s="187"/>
      <c r="Y35" s="187"/>
      <c r="Z35" s="187"/>
    </row>
    <row r="36" spans="1:26" s="41" customFormat="1" ht="18.75" customHeight="1" x14ac:dyDescent="0.35">
      <c r="A36" s="40"/>
      <c r="B36" s="192"/>
      <c r="C36" s="192"/>
      <c r="D36" s="193"/>
      <c r="E36" s="193"/>
      <c r="F36" s="194"/>
      <c r="G36" s="194"/>
      <c r="H36" s="194"/>
      <c r="I36" s="195"/>
      <c r="J36" s="195"/>
      <c r="K36" s="194"/>
      <c r="L36" s="194"/>
      <c r="M36" s="196"/>
      <c r="N36" s="194"/>
      <c r="O36" s="194"/>
      <c r="P36" s="194"/>
      <c r="Q36" s="194"/>
      <c r="R36" s="194"/>
      <c r="S36" s="194"/>
      <c r="T36" s="194"/>
      <c r="U36" s="40"/>
      <c r="V36" s="40"/>
      <c r="W36" s="40"/>
      <c r="X36" s="40"/>
      <c r="Y36" s="40"/>
      <c r="Z36" s="40"/>
    </row>
    <row r="37" spans="1:26" ht="18.75" customHeight="1" x14ac:dyDescent="0.35">
      <c r="B37" s="280" t="s">
        <v>206</v>
      </c>
      <c r="C37" s="280"/>
      <c r="D37" s="280"/>
      <c r="E37" s="280"/>
      <c r="F37" s="280"/>
    </row>
    <row r="38" spans="1:26" ht="18.75" customHeight="1" x14ac:dyDescent="0.35">
      <c r="B38" s="281"/>
      <c r="C38" s="281"/>
      <c r="D38" s="281"/>
      <c r="E38" s="281"/>
    </row>
    <row r="39" spans="1:26" ht="18.75" customHeight="1" x14ac:dyDescent="0.35">
      <c r="B39" s="48" t="s">
        <v>79</v>
      </c>
      <c r="C39" s="48"/>
      <c r="D39" s="48"/>
      <c r="E39" s="48"/>
      <c r="F39" s="48"/>
      <c r="I39" s="278"/>
      <c r="J39" s="278"/>
      <c r="K39" s="278"/>
      <c r="L39" s="278"/>
      <c r="M39" s="278"/>
      <c r="P39" s="278"/>
      <c r="Q39" s="278"/>
      <c r="R39" s="278"/>
      <c r="S39" s="278"/>
      <c r="T39" s="278"/>
      <c r="U39" s="205"/>
      <c r="V39" s="205"/>
      <c r="W39" s="205"/>
      <c r="X39" s="205"/>
      <c r="Y39" s="205"/>
      <c r="Z39" s="201"/>
    </row>
    <row r="40" spans="1:26" ht="18.75" customHeight="1" x14ac:dyDescent="0.35">
      <c r="B40" s="126" t="s">
        <v>207</v>
      </c>
      <c r="C40" s="48"/>
      <c r="D40" s="48"/>
      <c r="E40" s="48"/>
      <c r="F40" s="48"/>
      <c r="I40" s="205"/>
      <c r="J40" s="205"/>
      <c r="K40" s="205"/>
      <c r="L40" s="205"/>
      <c r="M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1"/>
    </row>
    <row r="41" spans="1:26" ht="18.75" customHeight="1" x14ac:dyDescent="0.35"/>
    <row r="42" spans="1:26" s="41" customFormat="1" ht="18.75" customHeight="1" x14ac:dyDescent="0.35">
      <c r="A42" s="40"/>
      <c r="B42" s="192"/>
      <c r="C42" s="192"/>
      <c r="D42" s="193"/>
      <c r="E42" s="193"/>
      <c r="F42" s="194"/>
      <c r="G42" s="194"/>
      <c r="H42" s="194"/>
      <c r="I42" s="195"/>
      <c r="J42" s="195"/>
      <c r="K42" s="194"/>
      <c r="L42" s="194"/>
      <c r="M42" s="196"/>
      <c r="N42" s="194"/>
      <c r="O42" s="194"/>
      <c r="P42" s="194"/>
      <c r="Q42" s="194"/>
      <c r="R42" s="194"/>
      <c r="S42" s="194"/>
      <c r="T42" s="194"/>
      <c r="U42" s="40"/>
      <c r="V42" s="205"/>
      <c r="W42" s="205"/>
      <c r="X42" s="205"/>
      <c r="Y42" s="205"/>
      <c r="Z42" s="205"/>
    </row>
    <row r="43" spans="1:26" s="41" customFormat="1" ht="18.75" customHeight="1" x14ac:dyDescent="0.35">
      <c r="A43" s="40"/>
      <c r="B43" s="280" t="s">
        <v>215</v>
      </c>
      <c r="C43" s="280"/>
      <c r="D43" s="280"/>
      <c r="E43" s="280"/>
      <c r="F43" s="280"/>
      <c r="G43" s="280"/>
      <c r="H43" s="280"/>
      <c r="I43" s="48"/>
      <c r="J43" s="48"/>
      <c r="K43" s="40"/>
      <c r="L43" s="40"/>
      <c r="M43" s="47"/>
      <c r="N43" s="40"/>
      <c r="O43" s="40"/>
      <c r="P43" s="40"/>
      <c r="Q43" s="40"/>
      <c r="R43" s="40"/>
      <c r="S43" s="40"/>
      <c r="T43" s="40"/>
      <c r="U43" s="40"/>
      <c r="V43" s="205"/>
      <c r="W43" s="205"/>
      <c r="X43" s="205"/>
      <c r="Y43" s="205"/>
      <c r="Z43" s="205"/>
    </row>
    <row r="44" spans="1:26" s="41" customFormat="1" ht="18.75" customHeight="1" x14ac:dyDescent="0.35">
      <c r="A44" s="40"/>
      <c r="B44" s="281"/>
      <c r="C44" s="281"/>
      <c r="D44" s="281"/>
      <c r="E44" s="281"/>
      <c r="F44" s="281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05"/>
      <c r="W44" s="205"/>
      <c r="X44" s="205"/>
      <c r="Y44" s="205"/>
      <c r="Z44" s="205"/>
    </row>
    <row r="45" spans="1:26" s="41" customFormat="1" ht="18.75" customHeight="1" x14ac:dyDescent="0.35">
      <c r="A45" s="40"/>
      <c r="B45" s="48" t="s">
        <v>79</v>
      </c>
      <c r="C45" s="52"/>
      <c r="D45" s="52"/>
      <c r="E45" s="52"/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205"/>
      <c r="W45" s="205"/>
      <c r="X45" s="205"/>
      <c r="Y45" s="205"/>
      <c r="Z45" s="205"/>
    </row>
    <row r="46" spans="1:26" s="41" customFormat="1" ht="18.75" customHeight="1" x14ac:dyDescent="0.35">
      <c r="A46" s="40"/>
      <c r="B46" s="126" t="s">
        <v>216</v>
      </c>
      <c r="C46" s="52"/>
      <c r="D46" s="52"/>
      <c r="E46" s="52"/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05"/>
      <c r="W46" s="205"/>
      <c r="X46" s="205"/>
      <c r="Y46" s="205"/>
      <c r="Z46" s="205"/>
    </row>
    <row r="47" spans="1:26" ht="18.75" customHeight="1" x14ac:dyDescent="0.35"/>
    <row r="48" spans="1:26" ht="18.75" customHeight="1" x14ac:dyDescent="0.35">
      <c r="B48" s="192"/>
      <c r="C48" s="192"/>
      <c r="D48" s="193"/>
      <c r="E48" s="193"/>
      <c r="F48" s="194"/>
      <c r="G48" s="194"/>
      <c r="H48" s="194"/>
      <c r="I48" s="195"/>
      <c r="J48" s="195"/>
      <c r="K48" s="194"/>
      <c r="L48" s="194"/>
      <c r="M48" s="196"/>
      <c r="N48" s="194"/>
      <c r="O48" s="194"/>
      <c r="P48" s="194"/>
      <c r="Q48" s="194"/>
      <c r="R48" s="194"/>
      <c r="S48" s="194"/>
      <c r="T48" s="194"/>
    </row>
    <row r="49" spans="1:26" ht="18.75" customHeight="1" x14ac:dyDescent="0.35">
      <c r="B49" s="285" t="s">
        <v>202</v>
      </c>
      <c r="C49" s="285"/>
      <c r="D49" s="285"/>
      <c r="E49" s="285"/>
      <c r="F49" s="285"/>
      <c r="G49" s="285"/>
      <c r="H49" s="285"/>
    </row>
    <row r="50" spans="1:26" ht="18.75" customHeight="1" x14ac:dyDescent="0.35">
      <c r="A50" s="43"/>
      <c r="B50" s="285"/>
      <c r="C50" s="285"/>
      <c r="D50" s="285"/>
      <c r="E50" s="285"/>
      <c r="F50" s="285"/>
      <c r="G50" s="285"/>
      <c r="H50" s="285"/>
      <c r="I50" s="43"/>
      <c r="J50" s="43"/>
      <c r="K50" s="43"/>
      <c r="L50" s="43"/>
      <c r="Z50" s="125"/>
    </row>
    <row r="51" spans="1:26" ht="18.75" customHeight="1" x14ac:dyDescent="0.35">
      <c r="A51" s="203"/>
      <c r="B51" s="202" t="s">
        <v>15</v>
      </c>
      <c r="C51" s="262" t="s">
        <v>266</v>
      </c>
      <c r="D51" s="263"/>
      <c r="E51" s="264"/>
      <c r="F51" s="203"/>
      <c r="G51" s="202" t="s">
        <v>15</v>
      </c>
      <c r="H51" s="262" t="s">
        <v>268</v>
      </c>
      <c r="I51" s="263"/>
      <c r="J51" s="264"/>
      <c r="K51" s="203"/>
      <c r="L51" s="202" t="s">
        <v>15</v>
      </c>
      <c r="M51" s="262" t="s">
        <v>271</v>
      </c>
      <c r="N51" s="263"/>
      <c r="O51" s="264"/>
      <c r="P51" s="203"/>
      <c r="Q51" s="202" t="s">
        <v>15</v>
      </c>
      <c r="R51" s="262" t="s">
        <v>275</v>
      </c>
      <c r="S51" s="263"/>
      <c r="T51" s="264"/>
      <c r="Z51" s="125"/>
    </row>
    <row r="52" spans="1:26" ht="18.75" customHeight="1" x14ac:dyDescent="0.35">
      <c r="B52" s="204">
        <v>1</v>
      </c>
      <c r="C52" s="267" t="s">
        <v>267</v>
      </c>
      <c r="D52" s="268"/>
      <c r="E52" s="269"/>
      <c r="F52" s="203"/>
      <c r="G52" s="265">
        <v>2</v>
      </c>
      <c r="H52" s="267" t="s">
        <v>269</v>
      </c>
      <c r="I52" s="268"/>
      <c r="J52" s="269"/>
      <c r="K52" s="203"/>
      <c r="L52" s="265">
        <v>3</v>
      </c>
      <c r="M52" s="267" t="s">
        <v>272</v>
      </c>
      <c r="N52" s="268"/>
      <c r="O52" s="269"/>
      <c r="P52" s="125"/>
      <c r="Q52" s="265">
        <v>5</v>
      </c>
      <c r="R52" s="267" t="s">
        <v>276</v>
      </c>
      <c r="S52" s="268"/>
      <c r="T52" s="269"/>
      <c r="Z52" s="125"/>
    </row>
    <row r="53" spans="1:26" ht="18.75" customHeight="1" x14ac:dyDescent="0.35">
      <c r="F53" s="203"/>
      <c r="G53" s="286"/>
      <c r="H53" s="267" t="s">
        <v>270</v>
      </c>
      <c r="I53" s="268"/>
      <c r="J53" s="269"/>
      <c r="K53" s="203"/>
      <c r="L53" s="266"/>
      <c r="M53" s="267" t="s">
        <v>273</v>
      </c>
      <c r="N53" s="268"/>
      <c r="O53" s="269"/>
      <c r="P53" s="125"/>
      <c r="Q53" s="266"/>
      <c r="R53" s="267" t="s">
        <v>277</v>
      </c>
      <c r="S53" s="268"/>
      <c r="T53" s="269"/>
      <c r="Z53" s="125"/>
    </row>
    <row r="54" spans="1:26" ht="18.75" customHeight="1" x14ac:dyDescent="0.35">
      <c r="F54" s="203"/>
      <c r="K54" s="203"/>
      <c r="L54" s="286"/>
      <c r="M54" s="267" t="s">
        <v>274</v>
      </c>
      <c r="N54" s="268"/>
      <c r="O54" s="269"/>
      <c r="P54" s="125"/>
      <c r="Q54" s="266"/>
      <c r="R54" s="267" t="s">
        <v>278</v>
      </c>
      <c r="S54" s="268"/>
      <c r="T54" s="269"/>
      <c r="Z54" s="125"/>
    </row>
    <row r="55" spans="1:26" ht="18.75" customHeight="1" x14ac:dyDescent="0.35">
      <c r="Q55" s="266"/>
      <c r="R55" s="267" t="s">
        <v>279</v>
      </c>
      <c r="S55" s="268"/>
      <c r="T55" s="269"/>
      <c r="Z55" s="125"/>
    </row>
    <row r="56" spans="1:26" ht="18.75" customHeight="1" x14ac:dyDescent="0.35">
      <c r="Q56" s="266"/>
      <c r="R56" s="267" t="s">
        <v>280</v>
      </c>
      <c r="S56" s="268"/>
      <c r="T56" s="269"/>
      <c r="Z56" s="125"/>
    </row>
    <row r="57" spans="1:26" ht="18.75" customHeight="1" x14ac:dyDescent="0.35">
      <c r="Z57" s="125"/>
    </row>
    <row r="58" spans="1:26" ht="18.75" customHeight="1" x14ac:dyDescent="0.35">
      <c r="P58" s="125"/>
      <c r="Q58" s="125"/>
      <c r="R58" s="125"/>
      <c r="S58" s="125"/>
      <c r="T58" s="125"/>
      <c r="Z58" s="125"/>
    </row>
    <row r="59" spans="1:26" ht="18.75" customHeight="1" x14ac:dyDescent="0.35">
      <c r="P59" s="125"/>
      <c r="Q59" s="125"/>
      <c r="R59" s="125"/>
      <c r="S59" s="125"/>
      <c r="T59" s="125"/>
      <c r="Z59" s="125"/>
    </row>
    <row r="60" spans="1:26" ht="18.75" customHeight="1" x14ac:dyDescent="0.35">
      <c r="P60" s="125"/>
      <c r="Q60" s="125"/>
      <c r="R60" s="125"/>
      <c r="S60" s="125"/>
      <c r="T60" s="125"/>
      <c r="Z60" s="125"/>
    </row>
    <row r="61" spans="1:26" ht="18.75" customHeight="1" x14ac:dyDescent="0.35">
      <c r="P61" s="125"/>
      <c r="Q61" s="125"/>
      <c r="R61" s="125"/>
      <c r="S61" s="125"/>
      <c r="T61" s="125"/>
      <c r="Z61" s="125"/>
    </row>
    <row r="62" spans="1:26" ht="18.75" customHeight="1" x14ac:dyDescent="0.35">
      <c r="P62" s="125"/>
      <c r="Q62" s="125"/>
      <c r="R62" s="125"/>
      <c r="S62" s="125"/>
      <c r="T62" s="125"/>
      <c r="Z62" s="125"/>
    </row>
    <row r="63" spans="1:26" ht="18.75" customHeight="1" x14ac:dyDescent="0.35">
      <c r="P63" s="125"/>
      <c r="Q63" s="125"/>
      <c r="R63" s="125"/>
      <c r="S63" s="125"/>
      <c r="T63" s="125"/>
      <c r="Z63" s="125"/>
    </row>
    <row r="64" spans="1:26" ht="18.649999999999999" customHeight="1" x14ac:dyDescent="0.35">
      <c r="P64" s="125"/>
      <c r="Q64" s="125"/>
      <c r="R64" s="125"/>
      <c r="S64" s="125"/>
      <c r="T64" s="125"/>
      <c r="Z64" s="125"/>
    </row>
    <row r="65" spans="16:26" ht="18.75" customHeight="1" x14ac:dyDescent="0.35">
      <c r="P65" s="125"/>
      <c r="Q65" s="125"/>
      <c r="R65" s="125"/>
      <c r="S65" s="125"/>
      <c r="T65" s="125"/>
      <c r="Z65" s="125"/>
    </row>
    <row r="66" spans="16:26" ht="0" hidden="1" customHeight="1" x14ac:dyDescent="0.35">
      <c r="P66" s="49"/>
      <c r="Q66" s="202" t="s">
        <v>15</v>
      </c>
      <c r="R66" s="262" t="s">
        <v>208</v>
      </c>
      <c r="S66" s="263"/>
      <c r="T66" s="264"/>
      <c r="V66" s="125"/>
      <c r="W66" s="125"/>
      <c r="X66" s="125"/>
      <c r="Y66" s="125"/>
    </row>
    <row r="67" spans="16:26" ht="0" hidden="1" customHeight="1" x14ac:dyDescent="0.35">
      <c r="P67" s="49"/>
      <c r="Q67" s="265">
        <v>5</v>
      </c>
      <c r="R67" s="267" t="s">
        <v>209</v>
      </c>
      <c r="S67" s="268"/>
      <c r="T67" s="269"/>
      <c r="V67" s="125"/>
      <c r="W67" s="125"/>
      <c r="X67" s="125"/>
      <c r="Y67" s="125"/>
    </row>
    <row r="68" spans="16:26" ht="0" hidden="1" customHeight="1" x14ac:dyDescent="0.35">
      <c r="P68" s="49"/>
      <c r="Q68" s="266"/>
      <c r="R68" s="267" t="s">
        <v>210</v>
      </c>
      <c r="S68" s="268"/>
      <c r="T68" s="269"/>
      <c r="V68" s="125"/>
      <c r="W68" s="125"/>
      <c r="X68" s="125"/>
      <c r="Y68" s="125"/>
    </row>
    <row r="69" spans="16:26" ht="0" hidden="1" customHeight="1" x14ac:dyDescent="0.35">
      <c r="P69" s="49"/>
      <c r="Q69" s="266"/>
      <c r="R69" s="267" t="s">
        <v>211</v>
      </c>
      <c r="S69" s="268"/>
      <c r="T69" s="269"/>
      <c r="V69" s="125"/>
      <c r="W69" s="125"/>
      <c r="X69" s="125"/>
      <c r="Y69" s="125"/>
    </row>
    <row r="70" spans="16:26" ht="0" hidden="1" customHeight="1" x14ac:dyDescent="0.35">
      <c r="P70" s="49"/>
      <c r="Q70" s="266"/>
      <c r="R70" s="267" t="s">
        <v>212</v>
      </c>
      <c r="S70" s="268"/>
      <c r="T70" s="269"/>
      <c r="V70" s="125"/>
      <c r="W70" s="125"/>
      <c r="X70" s="125"/>
      <c r="Y70" s="125"/>
    </row>
    <row r="71" spans="16:26" ht="0" hidden="1" customHeight="1" x14ac:dyDescent="0.35">
      <c r="P71" s="49"/>
      <c r="Q71" s="266"/>
      <c r="R71" s="267" t="s">
        <v>213</v>
      </c>
      <c r="S71" s="268"/>
      <c r="T71" s="269"/>
      <c r="V71" s="125"/>
      <c r="W71" s="125"/>
      <c r="X71" s="125"/>
      <c r="Y71" s="125"/>
    </row>
  </sheetData>
  <mergeCells count="52">
    <mergeCell ref="G44:U44"/>
    <mergeCell ref="H53:J53"/>
    <mergeCell ref="L52:L54"/>
    <mergeCell ref="M52:O52"/>
    <mergeCell ref="M53:O53"/>
    <mergeCell ref="M54:O54"/>
    <mergeCell ref="B43:H43"/>
    <mergeCell ref="B44:F44"/>
    <mergeCell ref="R55:T55"/>
    <mergeCell ref="R56:T56"/>
    <mergeCell ref="B49:H50"/>
    <mergeCell ref="C51:E51"/>
    <mergeCell ref="H51:J51"/>
    <mergeCell ref="R52:T52"/>
    <mergeCell ref="R53:T53"/>
    <mergeCell ref="R54:T54"/>
    <mergeCell ref="R51:T51"/>
    <mergeCell ref="M51:O51"/>
    <mergeCell ref="Q52:Q56"/>
    <mergeCell ref="C52:E52"/>
    <mergeCell ref="G52:G53"/>
    <mergeCell ref="H52:J52"/>
    <mergeCell ref="B20:P20"/>
    <mergeCell ref="B23:P23"/>
    <mergeCell ref="B22:P22"/>
    <mergeCell ref="B26:L26"/>
    <mergeCell ref="B38:E38"/>
    <mergeCell ref="G33:U33"/>
    <mergeCell ref="B33:F33"/>
    <mergeCell ref="R2:Y3"/>
    <mergeCell ref="R5:T5"/>
    <mergeCell ref="G30:S30"/>
    <mergeCell ref="I39:M39"/>
    <mergeCell ref="P39:T39"/>
    <mergeCell ref="F8:H10"/>
    <mergeCell ref="N8:P10"/>
    <mergeCell ref="B37:F37"/>
    <mergeCell ref="B9:E9"/>
    <mergeCell ref="J9:M9"/>
    <mergeCell ref="B13:G13"/>
    <mergeCell ref="B14:E14"/>
    <mergeCell ref="B16:P16"/>
    <mergeCell ref="B17:P17"/>
    <mergeCell ref="B32:H32"/>
    <mergeCell ref="B19:P19"/>
    <mergeCell ref="R66:T66"/>
    <mergeCell ref="Q67:Q71"/>
    <mergeCell ref="R67:T67"/>
    <mergeCell ref="R68:T68"/>
    <mergeCell ref="R69:T69"/>
    <mergeCell ref="R70:T70"/>
    <mergeCell ref="R71:T71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Producer</vt:lpstr>
      <vt:lpstr>SF Product Sheets</vt:lpstr>
      <vt:lpstr>Constants</vt:lpstr>
      <vt:lpstr>Current Products</vt:lpstr>
      <vt:lpstr>New Products</vt:lpstr>
      <vt:lpstr>Withdrawn Products</vt:lpstr>
      <vt:lpstr>Additional</vt:lpstr>
      <vt:lpstr>'Withdrawn Products'!a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Newbould - [Products]</dc:creator>
  <cp:lastModifiedBy>Erin Hill</cp:lastModifiedBy>
  <cp:lastPrinted>2018-05-09T10:40:44Z</cp:lastPrinted>
  <dcterms:created xsi:type="dcterms:W3CDTF">2017-10-26T14:25:31Z</dcterms:created>
  <dcterms:modified xsi:type="dcterms:W3CDTF">2024-10-09T15:25:27Z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fa9440-07c0-4897-aaed-0f437d5e2d74_Enabled">
    <vt:lpwstr>true</vt:lpwstr>
  </property>
  <property fmtid="{D5CDD505-2E9C-101B-9397-08002B2CF9AE}" pid="3" name="MSIP_Label_c4fa9440-07c0-4897-aaed-0f437d5e2d74_SetDate">
    <vt:lpwstr>2022-02-09T10:00:49Z</vt:lpwstr>
  </property>
  <property fmtid="{D5CDD505-2E9C-101B-9397-08002B2CF9AE}" pid="4" name="MSIP_Label_c4fa9440-07c0-4897-aaed-0f437d5e2d74_Method">
    <vt:lpwstr>Privileged</vt:lpwstr>
  </property>
  <property fmtid="{D5CDD505-2E9C-101B-9397-08002B2CF9AE}" pid="5" name="MSIP_Label_c4fa9440-07c0-4897-aaed-0f437d5e2d74_Name">
    <vt:lpwstr>Public</vt:lpwstr>
  </property>
  <property fmtid="{D5CDD505-2E9C-101B-9397-08002B2CF9AE}" pid="6" name="MSIP_Label_c4fa9440-07c0-4897-aaed-0f437d5e2d74_SiteId">
    <vt:lpwstr>6e97e4e4-ed40-4c38-8b4d-283573e82080</vt:lpwstr>
  </property>
  <property fmtid="{D5CDD505-2E9C-101B-9397-08002B2CF9AE}" pid="7" name="MSIP_Label_c4fa9440-07c0-4897-aaed-0f437d5e2d74_ActionId">
    <vt:lpwstr>5c0c058d-4517-4b98-ba67-eaba0762674f</vt:lpwstr>
  </property>
  <property fmtid="{D5CDD505-2E9C-101B-9397-08002B2CF9AE}" pid="8" name="MSIP_Label_c4fa9440-07c0-4897-aaed-0f437d5e2d74_ContentBits">
    <vt:lpwstr>0</vt:lpwstr>
  </property>
</Properties>
</file>